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DATA220849\DATA\UC 64\"/>
    </mc:Choice>
  </mc:AlternateContent>
  <bookViews>
    <workbookView xWindow="0" yWindow="0" windowWidth="25200" windowHeight="11850" tabRatio="682" firstSheet="18" activeTab="23"/>
  </bookViews>
  <sheets>
    <sheet name="อยุธยา" sheetId="2" r:id="rId1"/>
    <sheet name="ท่าเริอ" sheetId="3" r:id="rId2"/>
    <sheet name="นครหลวง" sheetId="4" r:id="rId3"/>
    <sheet name="บางไทร" sheetId="5" r:id="rId4"/>
    <sheet name="บางบาล" sheetId="6" r:id="rId5"/>
    <sheet name="บางปะอิน" sheetId="7" r:id="rId6"/>
    <sheet name="บางปะหัน" sheetId="8" r:id="rId7"/>
    <sheet name="ผักไห่" sheetId="9" r:id="rId8"/>
    <sheet name="ภาชี" sheetId="10" r:id="rId9"/>
    <sheet name="ลาดบัวหลวง" sheetId="11" r:id="rId10"/>
    <sheet name="วังน้อย" sheetId="12" r:id="rId11"/>
    <sheet name="เสนา" sheetId="13" r:id="rId12"/>
    <sheet name="บางซ้าย" sheetId="14" r:id="rId13"/>
    <sheet name="อุทัย" sheetId="15" r:id="rId14"/>
    <sheet name="มหาราช" sheetId="16" r:id="rId15"/>
    <sheet name="บ้านแพรก" sheetId="17" r:id="rId16"/>
    <sheet name="พื้นที่รอยต่อ" sheetId="19" r:id="rId17"/>
    <sheet name="หน่วยบริการประจำ" sheetId="20" r:id="rId18"/>
    <sheet name="total (OK)" sheetId="22" r:id="rId19"/>
    <sheet name="total (SSS)" sheetId="27" state="hidden" r:id="rId20"/>
    <sheet name="pivot SSS" sheetId="28" state="hidden" r:id="rId21"/>
    <sheet name="pivot" sheetId="24" r:id="rId22"/>
    <sheet name="Sheet1" sheetId="25" r:id="rId23"/>
    <sheet name="สรุปแผน รพ.สต." sheetId="29" r:id="rId24"/>
  </sheets>
  <definedNames>
    <definedName name="_xlnm._FilterDatabase" localSheetId="18" hidden="1">'total (OK)'!$A$4:$R$215</definedName>
    <definedName name="_xlnm._FilterDatabase" localSheetId="19" hidden="1">'total (SSS)'!$A$4:$T$217</definedName>
    <definedName name="sss" localSheetId="18">#REF!</definedName>
    <definedName name="sss" localSheetId="19">#REF!</definedName>
    <definedName name="sss" localSheetId="23">#REF!</definedName>
    <definedName name="sss">#REF!</definedName>
  </definedNames>
  <calcPr calcId="162913"/>
  <pivotCaches>
    <pivotCache cacheId="3" r:id="rId25"/>
    <pivotCache cacheId="4" r:id="rId26"/>
    <pivotCache cacheId="5" r:id="rId2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75" i="22" l="1"/>
  <c r="P174" i="22"/>
  <c r="P173" i="22"/>
  <c r="P172" i="22"/>
  <c r="P171" i="22"/>
  <c r="P170" i="22"/>
  <c r="P169" i="22"/>
  <c r="P168" i="22"/>
  <c r="P166" i="22"/>
  <c r="P167" i="22"/>
  <c r="T5" i="29" l="1"/>
  <c r="T6" i="29"/>
  <c r="T7" i="29"/>
  <c r="T8" i="29"/>
  <c r="T9" i="29"/>
  <c r="T10" i="29"/>
  <c r="T11" i="29"/>
  <c r="T12" i="29"/>
  <c r="T13" i="29"/>
  <c r="T14" i="29"/>
  <c r="T15" i="29"/>
  <c r="T20" i="29" s="1"/>
  <c r="T16" i="29"/>
  <c r="T17" i="29"/>
  <c r="T18" i="29"/>
  <c r="T19" i="29"/>
  <c r="T4" i="29"/>
  <c r="R5" i="29"/>
  <c r="R6" i="29"/>
  <c r="R7" i="29"/>
  <c r="R8" i="29"/>
  <c r="R9" i="29"/>
  <c r="R10" i="29"/>
  <c r="R11" i="29"/>
  <c r="R12" i="29"/>
  <c r="R13" i="29"/>
  <c r="R14" i="29"/>
  <c r="R15" i="29"/>
  <c r="R16" i="29"/>
  <c r="R17" i="29"/>
  <c r="R18" i="29"/>
  <c r="R19" i="29"/>
  <c r="R4" i="29"/>
  <c r="P84" i="22" l="1"/>
  <c r="P83" i="22"/>
  <c r="P82" i="22"/>
  <c r="P81" i="22"/>
  <c r="P80" i="22"/>
  <c r="P79" i="22"/>
  <c r="P78" i="22"/>
  <c r="P77" i="22"/>
  <c r="P76" i="22"/>
  <c r="P75" i="22"/>
  <c r="P74" i="22"/>
  <c r="P73" i="22"/>
  <c r="P72" i="22"/>
  <c r="P71" i="22"/>
  <c r="P70" i="22"/>
  <c r="P69" i="22"/>
  <c r="P68" i="22"/>
  <c r="P67" i="22"/>
  <c r="P66" i="22"/>
  <c r="P65" i="22"/>
  <c r="P64" i="22"/>
  <c r="P63" i="22"/>
  <c r="P62" i="22"/>
  <c r="P89" i="22" l="1"/>
  <c r="P92" i="22"/>
  <c r="P88" i="22"/>
  <c r="P90" i="22"/>
  <c r="P97" i="22"/>
  <c r="P91" i="22"/>
  <c r="P96" i="22"/>
  <c r="P95" i="22"/>
  <c r="P93" i="22"/>
  <c r="P94" i="22"/>
  <c r="P99" i="22"/>
  <c r="P98" i="22"/>
  <c r="P87" i="22"/>
  <c r="P86" i="22"/>
  <c r="P85" i="22"/>
  <c r="W222" i="22" l="1"/>
  <c r="P119" i="22"/>
  <c r="P118" i="22"/>
  <c r="P117" i="22"/>
  <c r="P116" i="22"/>
  <c r="P115" i="22"/>
  <c r="P114" i="22"/>
  <c r="P113" i="22"/>
  <c r="P112" i="22"/>
  <c r="P111" i="22"/>
  <c r="P110" i="22"/>
  <c r="P109" i="22"/>
  <c r="P108" i="22"/>
  <c r="P107" i="22"/>
  <c r="P106" i="22"/>
  <c r="P105" i="22"/>
  <c r="P104" i="22"/>
  <c r="P103" i="22"/>
  <c r="P102" i="22"/>
  <c r="P101" i="22"/>
  <c r="P100" i="22"/>
  <c r="W224" i="22" l="1"/>
  <c r="V224" i="22"/>
  <c r="P205" i="22"/>
  <c r="P203" i="22"/>
  <c r="P202" i="22"/>
  <c r="P201" i="22"/>
  <c r="P200" i="22"/>
  <c r="P199" i="22"/>
  <c r="P198" i="22"/>
  <c r="P197" i="22"/>
  <c r="P196" i="22"/>
  <c r="P195" i="22"/>
  <c r="P135" i="22" l="1"/>
  <c r="P134" i="22"/>
  <c r="P133" i="22"/>
  <c r="P132" i="22"/>
  <c r="P131" i="22"/>
  <c r="P130" i="22"/>
  <c r="P129" i="22"/>
  <c r="P128" i="22"/>
  <c r="P127" i="22"/>
  <c r="P126" i="22"/>
  <c r="P125" i="22"/>
  <c r="P124" i="22"/>
  <c r="P123" i="22"/>
  <c r="P122" i="22"/>
  <c r="P121" i="22"/>
  <c r="P120" i="22"/>
  <c r="P193" i="22" l="1"/>
  <c r="P192" i="22"/>
  <c r="P191" i="22"/>
  <c r="P190" i="22"/>
  <c r="P189" i="22"/>
  <c r="P188" i="22"/>
  <c r="P187" i="22"/>
  <c r="P186" i="22"/>
  <c r="P185" i="22"/>
  <c r="P184" i="22"/>
  <c r="P183" i="22"/>
  <c r="P182" i="22"/>
  <c r="C20" i="29" l="1"/>
  <c r="D20" i="29"/>
  <c r="E20" i="29"/>
  <c r="F20" i="29"/>
  <c r="G20" i="29"/>
  <c r="H20" i="29"/>
  <c r="I20" i="29"/>
  <c r="J20" i="29"/>
  <c r="K20" i="29"/>
  <c r="L20" i="29"/>
  <c r="M20" i="29"/>
  <c r="B20" i="29"/>
  <c r="AN10" i="29" l="1"/>
  <c r="P157" i="22" l="1"/>
  <c r="P156" i="22"/>
  <c r="P155" i="22"/>
  <c r="P154" i="22"/>
  <c r="P153" i="22"/>
  <c r="P152" i="22"/>
  <c r="P151" i="22"/>
  <c r="P137" i="22" l="1"/>
  <c r="P150" i="22"/>
  <c r="P149" i="22"/>
  <c r="P148" i="22"/>
  <c r="P136" i="22"/>
  <c r="P146" i="22"/>
  <c r="P145" i="22"/>
  <c r="P144" i="22"/>
  <c r="P143" i="22"/>
  <c r="P141" i="22"/>
  <c r="P140" i="22"/>
  <c r="P139" i="22"/>
  <c r="P138" i="22"/>
  <c r="P147" i="22"/>
  <c r="P142" i="22"/>
  <c r="P204" i="22" l="1"/>
  <c r="P194" i="22"/>
  <c r="P61" i="22" l="1"/>
  <c r="P60" i="22"/>
  <c r="P59" i="22"/>
  <c r="P58" i="22"/>
  <c r="P57" i="22"/>
  <c r="P56" i="22"/>
  <c r="P55" i="22"/>
  <c r="P54" i="22"/>
  <c r="P53" i="22"/>
  <c r="P52" i="22"/>
  <c r="P51" i="22"/>
  <c r="P50" i="22"/>
  <c r="P165" i="22" l="1"/>
  <c r="P164" i="22"/>
  <c r="P163" i="22"/>
  <c r="P162" i="22"/>
  <c r="P161" i="22"/>
  <c r="P160" i="22"/>
  <c r="P159" i="22"/>
  <c r="P158" i="22"/>
  <c r="P49" i="22" l="1"/>
  <c r="P48" i="22"/>
  <c r="P47" i="22"/>
  <c r="P45" i="22"/>
  <c r="P44" i="22"/>
  <c r="P41" i="22"/>
  <c r="P40" i="22"/>
  <c r="P39" i="22"/>
  <c r="P46" i="22"/>
  <c r="P43" i="22"/>
  <c r="P42" i="22"/>
  <c r="P38" i="22"/>
  <c r="O9" i="29" l="1"/>
  <c r="B5" i="29" l="1"/>
  <c r="B6" i="29"/>
  <c r="B7" i="29"/>
  <c r="B8" i="29"/>
  <c r="B9" i="29"/>
  <c r="B10" i="29"/>
  <c r="B11" i="29"/>
  <c r="B12" i="29"/>
  <c r="B13" i="29"/>
  <c r="B14" i="29"/>
  <c r="B15" i="29"/>
  <c r="B16" i="29"/>
  <c r="B17" i="29"/>
  <c r="B18" i="29"/>
  <c r="B19" i="29"/>
  <c r="B4" i="29"/>
  <c r="O20" i="29"/>
  <c r="N20" i="29"/>
  <c r="AC19" i="29"/>
  <c r="AC18" i="29"/>
  <c r="AC16" i="29"/>
  <c r="AC14" i="29"/>
  <c r="AC13" i="29"/>
  <c r="AC12" i="29"/>
  <c r="AC11" i="29"/>
  <c r="AC10" i="29"/>
  <c r="AC9" i="29"/>
  <c r="P20" i="29"/>
  <c r="AC7" i="29"/>
  <c r="AC6" i="29"/>
  <c r="AC5" i="29"/>
  <c r="AC4" i="29"/>
  <c r="T1" i="29"/>
  <c r="K31" i="7" l="1"/>
  <c r="K24" i="7"/>
  <c r="L24" i="7"/>
  <c r="M24" i="7"/>
  <c r="N24" i="7"/>
  <c r="O24" i="7"/>
  <c r="L31" i="7"/>
  <c r="M31" i="7"/>
  <c r="N31" i="7"/>
  <c r="O31" i="7"/>
  <c r="O78" i="2" l="1"/>
  <c r="O75" i="2"/>
  <c r="L75" i="2"/>
  <c r="M75" i="2"/>
  <c r="N75" i="2"/>
  <c r="K75" i="2"/>
  <c r="L78" i="2"/>
  <c r="M78" i="2"/>
  <c r="N78" i="2"/>
  <c r="K78" i="2"/>
  <c r="J5" i="22" l="1"/>
  <c r="K57" i="2"/>
  <c r="L39" i="2"/>
  <c r="M39" i="2"/>
  <c r="N39" i="2"/>
  <c r="O39" i="2"/>
  <c r="K39" i="2"/>
  <c r="L43" i="2"/>
  <c r="M43" i="2"/>
  <c r="N43" i="2"/>
  <c r="O43" i="2"/>
  <c r="K43" i="2"/>
  <c r="S212" i="27" l="1"/>
  <c r="I211" i="27" l="1"/>
  <c r="H211" i="27"/>
  <c r="G211" i="27"/>
  <c r="F211" i="27"/>
  <c r="E211" i="27"/>
  <c r="D211" i="27"/>
  <c r="P210" i="27"/>
  <c r="N210" i="27"/>
  <c r="J209" i="27"/>
  <c r="J208" i="27"/>
  <c r="Q208" i="27" s="1"/>
  <c r="J207" i="27"/>
  <c r="J206" i="27"/>
  <c r="R206" i="27" s="1"/>
  <c r="J205" i="27"/>
  <c r="J204" i="27"/>
  <c r="J203" i="27"/>
  <c r="Q203" i="27" s="1"/>
  <c r="J202" i="27"/>
  <c r="R202" i="27" s="1"/>
  <c r="J201" i="27"/>
  <c r="J200" i="27"/>
  <c r="J199" i="27"/>
  <c r="J198" i="27"/>
  <c r="R198" i="27" s="1"/>
  <c r="J197" i="27"/>
  <c r="J196" i="27"/>
  <c r="Q196" i="27" s="1"/>
  <c r="J195" i="27"/>
  <c r="J194" i="27"/>
  <c r="R194" i="27" s="1"/>
  <c r="J193" i="27"/>
  <c r="J192" i="27"/>
  <c r="J191" i="27"/>
  <c r="J190" i="27"/>
  <c r="R190" i="27" s="1"/>
  <c r="J189" i="27"/>
  <c r="J188" i="27"/>
  <c r="R188" i="27" s="1"/>
  <c r="J187" i="27"/>
  <c r="J186" i="27"/>
  <c r="R186" i="27" s="1"/>
  <c r="J185" i="27"/>
  <c r="J184" i="27"/>
  <c r="K184" i="27" s="1"/>
  <c r="J183" i="27"/>
  <c r="J182" i="27"/>
  <c r="R182" i="27" s="1"/>
  <c r="J181" i="27"/>
  <c r="J180" i="27"/>
  <c r="R180" i="27" s="1"/>
  <c r="J179" i="27"/>
  <c r="J178" i="27"/>
  <c r="R178" i="27" s="1"/>
  <c r="J177" i="27"/>
  <c r="J176" i="27"/>
  <c r="J175" i="27"/>
  <c r="J174" i="27"/>
  <c r="R174" i="27" s="1"/>
  <c r="J173" i="27"/>
  <c r="J172" i="27"/>
  <c r="R172" i="27" s="1"/>
  <c r="J171" i="27"/>
  <c r="J170" i="27"/>
  <c r="R170" i="27" s="1"/>
  <c r="J169" i="27"/>
  <c r="J168" i="27"/>
  <c r="K168" i="27" s="1"/>
  <c r="J167" i="27"/>
  <c r="J166" i="27"/>
  <c r="R166" i="27" s="1"/>
  <c r="J165" i="27"/>
  <c r="J164" i="27"/>
  <c r="R164" i="27" s="1"/>
  <c r="J163" i="27"/>
  <c r="J162" i="27"/>
  <c r="R162" i="27" s="1"/>
  <c r="J161" i="27"/>
  <c r="J160" i="27"/>
  <c r="J159" i="27"/>
  <c r="J158" i="27"/>
  <c r="R158" i="27" s="1"/>
  <c r="J157" i="27"/>
  <c r="J156" i="27"/>
  <c r="R156" i="27" s="1"/>
  <c r="J155" i="27"/>
  <c r="J154" i="27"/>
  <c r="R154" i="27" s="1"/>
  <c r="J153" i="27"/>
  <c r="J152" i="27"/>
  <c r="K152" i="27" s="1"/>
  <c r="J151" i="27"/>
  <c r="J150" i="27"/>
  <c r="R150" i="27" s="1"/>
  <c r="J149" i="27"/>
  <c r="J148" i="27"/>
  <c r="R148" i="27" s="1"/>
  <c r="J147" i="27"/>
  <c r="J146" i="27"/>
  <c r="R146" i="27" s="1"/>
  <c r="J145" i="27"/>
  <c r="J144" i="27"/>
  <c r="J143" i="27"/>
  <c r="J142" i="27"/>
  <c r="R142" i="27" s="1"/>
  <c r="J141" i="27"/>
  <c r="J140" i="27"/>
  <c r="R140" i="27" s="1"/>
  <c r="J139" i="27"/>
  <c r="J138" i="27"/>
  <c r="R138" i="27" s="1"/>
  <c r="J137" i="27"/>
  <c r="J136" i="27"/>
  <c r="K136" i="27" s="1"/>
  <c r="J135" i="27"/>
  <c r="J134" i="27"/>
  <c r="R134" i="27" s="1"/>
  <c r="J133" i="27"/>
  <c r="J132" i="27"/>
  <c r="R132" i="27" s="1"/>
  <c r="J131" i="27"/>
  <c r="J130" i="27"/>
  <c r="R130" i="27" s="1"/>
  <c r="J129" i="27"/>
  <c r="J128" i="27"/>
  <c r="J127" i="27"/>
  <c r="J126" i="27"/>
  <c r="R126" i="27" s="1"/>
  <c r="J125" i="27"/>
  <c r="J124" i="27"/>
  <c r="J123" i="27"/>
  <c r="J122" i="27"/>
  <c r="R122" i="27" s="1"/>
  <c r="J121" i="27"/>
  <c r="J120" i="27"/>
  <c r="J119" i="27"/>
  <c r="J118" i="27"/>
  <c r="R118" i="27" s="1"/>
  <c r="J117" i="27"/>
  <c r="J116" i="27"/>
  <c r="J115" i="27"/>
  <c r="J114" i="27"/>
  <c r="R114" i="27" s="1"/>
  <c r="J113" i="27"/>
  <c r="J112" i="27"/>
  <c r="K112" i="27" s="1"/>
  <c r="J111" i="27"/>
  <c r="J110" i="27"/>
  <c r="R110" i="27" s="1"/>
  <c r="J109" i="27"/>
  <c r="Q109" i="27" s="1"/>
  <c r="J108" i="27"/>
  <c r="J107" i="27"/>
  <c r="J106" i="27"/>
  <c r="R106" i="27" s="1"/>
  <c r="J105" i="27"/>
  <c r="J104" i="27"/>
  <c r="J103" i="27"/>
  <c r="J102" i="27"/>
  <c r="R102" i="27" s="1"/>
  <c r="J101" i="27"/>
  <c r="J100" i="27"/>
  <c r="J99" i="27"/>
  <c r="J98" i="27"/>
  <c r="J97" i="27"/>
  <c r="J96" i="27"/>
  <c r="Q96" i="27" s="1"/>
  <c r="J95" i="27"/>
  <c r="J94" i="27"/>
  <c r="J93" i="27"/>
  <c r="J92" i="27"/>
  <c r="J91" i="27"/>
  <c r="J90" i="27"/>
  <c r="J89" i="27"/>
  <c r="J88" i="27"/>
  <c r="J87" i="27"/>
  <c r="J86" i="27"/>
  <c r="J85" i="27"/>
  <c r="J84" i="27"/>
  <c r="J83" i="27"/>
  <c r="J82" i="27"/>
  <c r="J81" i="27"/>
  <c r="J80" i="27"/>
  <c r="Q80" i="27" s="1"/>
  <c r="J79" i="27"/>
  <c r="J78" i="27"/>
  <c r="J77" i="27"/>
  <c r="J76" i="27"/>
  <c r="J75" i="27"/>
  <c r="J74" i="27"/>
  <c r="J73" i="27"/>
  <c r="J72" i="27"/>
  <c r="J71" i="27"/>
  <c r="J70" i="27"/>
  <c r="J69" i="27"/>
  <c r="J68" i="27"/>
  <c r="J67" i="27"/>
  <c r="J66" i="27"/>
  <c r="J65" i="27"/>
  <c r="J64" i="27"/>
  <c r="Q64" i="27" s="1"/>
  <c r="J63" i="27"/>
  <c r="J62" i="27"/>
  <c r="J61" i="27"/>
  <c r="J60" i="27"/>
  <c r="J59" i="27"/>
  <c r="J58" i="27"/>
  <c r="J57" i="27"/>
  <c r="J56" i="27"/>
  <c r="J55" i="27"/>
  <c r="J54" i="27"/>
  <c r="J53" i="27"/>
  <c r="J52" i="27"/>
  <c r="J51" i="27"/>
  <c r="J50" i="27"/>
  <c r="J49" i="27"/>
  <c r="J48" i="27"/>
  <c r="J47" i="27"/>
  <c r="J46" i="27"/>
  <c r="J45" i="27"/>
  <c r="J44" i="27"/>
  <c r="J43" i="27"/>
  <c r="J42" i="27"/>
  <c r="J41" i="27"/>
  <c r="J40" i="27"/>
  <c r="J39" i="27"/>
  <c r="J38" i="27"/>
  <c r="Q38" i="27" s="1"/>
  <c r="J37" i="27"/>
  <c r="J36" i="27"/>
  <c r="J35" i="27"/>
  <c r="J34" i="27"/>
  <c r="J33" i="27"/>
  <c r="J32" i="27"/>
  <c r="J31" i="27"/>
  <c r="J30" i="27"/>
  <c r="J29" i="27"/>
  <c r="J28" i="27"/>
  <c r="J27" i="27"/>
  <c r="J26" i="27"/>
  <c r="J25" i="27"/>
  <c r="J24" i="27"/>
  <c r="J23" i="27"/>
  <c r="J22" i="27"/>
  <c r="Q22" i="27" s="1"/>
  <c r="J21" i="27"/>
  <c r="J20" i="27"/>
  <c r="J19" i="27"/>
  <c r="J18" i="27"/>
  <c r="J17" i="27"/>
  <c r="J16" i="27"/>
  <c r="J15" i="27"/>
  <c r="J14" i="27"/>
  <c r="J13" i="27"/>
  <c r="J12" i="27"/>
  <c r="J11" i="27"/>
  <c r="J10" i="27"/>
  <c r="J9" i="27"/>
  <c r="J8" i="27"/>
  <c r="J7" i="27"/>
  <c r="J6" i="27"/>
  <c r="Q6" i="27" s="1"/>
  <c r="J5" i="27"/>
  <c r="Q172" i="27" l="1"/>
  <c r="Q164" i="27"/>
  <c r="K132" i="27"/>
  <c r="Q140" i="27"/>
  <c r="K164" i="27"/>
  <c r="K180" i="27"/>
  <c r="K148" i="27"/>
  <c r="Q12" i="27"/>
  <c r="R12" i="27"/>
  <c r="K14" i="27"/>
  <c r="R14" i="27"/>
  <c r="Q21" i="27"/>
  <c r="R21" i="27"/>
  <c r="Q31" i="27"/>
  <c r="R31" i="27"/>
  <c r="K46" i="27"/>
  <c r="R46" i="27"/>
  <c r="K54" i="27"/>
  <c r="R54" i="27"/>
  <c r="Q61" i="27"/>
  <c r="R61" i="27"/>
  <c r="K68" i="27"/>
  <c r="R68" i="27"/>
  <c r="Q75" i="27"/>
  <c r="R75" i="27"/>
  <c r="K82" i="27"/>
  <c r="R82" i="27"/>
  <c r="K89" i="27"/>
  <c r="R89" i="27"/>
  <c r="K100" i="27"/>
  <c r="R100" i="27"/>
  <c r="K104" i="27"/>
  <c r="R104" i="27"/>
  <c r="Q108" i="27"/>
  <c r="R108" i="27"/>
  <c r="Q111" i="27"/>
  <c r="R111" i="27"/>
  <c r="K117" i="27"/>
  <c r="R117" i="27"/>
  <c r="K121" i="27"/>
  <c r="R121" i="27"/>
  <c r="K125" i="27"/>
  <c r="R125" i="27"/>
  <c r="Q128" i="27"/>
  <c r="R128" i="27"/>
  <c r="Q131" i="27"/>
  <c r="R131" i="27"/>
  <c r="K133" i="27"/>
  <c r="R133" i="27"/>
  <c r="K145" i="27"/>
  <c r="R145" i="27"/>
  <c r="Q151" i="27"/>
  <c r="R151" i="27"/>
  <c r="Q156" i="27"/>
  <c r="Q160" i="27"/>
  <c r="R160" i="27"/>
  <c r="Q163" i="27"/>
  <c r="R163" i="27"/>
  <c r="K165" i="27"/>
  <c r="R165" i="27"/>
  <c r="K177" i="27"/>
  <c r="R177" i="27"/>
  <c r="Q183" i="27"/>
  <c r="R183" i="27"/>
  <c r="Q188" i="27"/>
  <c r="Q192" i="27"/>
  <c r="R192" i="27"/>
  <c r="Q195" i="27"/>
  <c r="R195" i="27"/>
  <c r="Q8" i="27"/>
  <c r="R8" i="27"/>
  <c r="Q19" i="27"/>
  <c r="R19" i="27"/>
  <c r="K10" i="27"/>
  <c r="R10" i="27"/>
  <c r="Q17" i="27"/>
  <c r="R17" i="27"/>
  <c r="Q24" i="27"/>
  <c r="R24" i="27"/>
  <c r="Q28" i="27"/>
  <c r="R28" i="27"/>
  <c r="Q35" i="27"/>
  <c r="R35" i="27"/>
  <c r="K42" i="27"/>
  <c r="R42" i="27"/>
  <c r="K50" i="27"/>
  <c r="R50" i="27"/>
  <c r="Q57" i="27"/>
  <c r="R57" i="27"/>
  <c r="K72" i="27"/>
  <c r="R72" i="27"/>
  <c r="Q79" i="27"/>
  <c r="R79" i="27"/>
  <c r="K86" i="27"/>
  <c r="R86" i="27"/>
  <c r="Q93" i="27"/>
  <c r="R93" i="27"/>
  <c r="Q7" i="27"/>
  <c r="R7" i="27"/>
  <c r="Q11" i="27"/>
  <c r="R11" i="27"/>
  <c r="Q14" i="27"/>
  <c r="K18" i="27"/>
  <c r="R18" i="27"/>
  <c r="K22" i="27"/>
  <c r="R22" i="27"/>
  <c r="Q25" i="27"/>
  <c r="R25" i="27"/>
  <c r="Q29" i="27"/>
  <c r="R29" i="27"/>
  <c r="Q32" i="27"/>
  <c r="R32" i="27"/>
  <c r="Q36" i="27"/>
  <c r="R36" i="27"/>
  <c r="Q39" i="27"/>
  <c r="R39" i="27"/>
  <c r="Q43" i="27"/>
  <c r="R43" i="27"/>
  <c r="Q47" i="27"/>
  <c r="R47" i="27"/>
  <c r="Q51" i="27"/>
  <c r="R51" i="27"/>
  <c r="Q54" i="27"/>
  <c r="K58" i="27"/>
  <c r="R58" i="27"/>
  <c r="K62" i="27"/>
  <c r="R62" i="27"/>
  <c r="K65" i="27"/>
  <c r="R65" i="27"/>
  <c r="Q69" i="27"/>
  <c r="R69" i="27"/>
  <c r="Q72" i="27"/>
  <c r="K76" i="27"/>
  <c r="R76" i="27"/>
  <c r="K80" i="27"/>
  <c r="R80" i="27"/>
  <c r="Q83" i="27"/>
  <c r="R83" i="27"/>
  <c r="Q87" i="27"/>
  <c r="R87" i="27"/>
  <c r="K90" i="27"/>
  <c r="R90" i="27"/>
  <c r="K94" i="27"/>
  <c r="R94" i="27"/>
  <c r="K97" i="27"/>
  <c r="R97" i="27"/>
  <c r="Q101" i="27"/>
  <c r="R101" i="27"/>
  <c r="K105" i="27"/>
  <c r="R105" i="27"/>
  <c r="K109" i="27"/>
  <c r="R109" i="27"/>
  <c r="Q112" i="27"/>
  <c r="R112" i="27"/>
  <c r="Q115" i="27"/>
  <c r="R115" i="27"/>
  <c r="Q125" i="27"/>
  <c r="K128" i="27"/>
  <c r="K137" i="27"/>
  <c r="R137" i="27"/>
  <c r="K140" i="27"/>
  <c r="Q143" i="27"/>
  <c r="R143" i="27"/>
  <c r="Q148" i="27"/>
  <c r="Q152" i="27"/>
  <c r="R152" i="27"/>
  <c r="Q155" i="27"/>
  <c r="R155" i="27"/>
  <c r="K157" i="27"/>
  <c r="R157" i="27"/>
  <c r="K160" i="27"/>
  <c r="K169" i="27"/>
  <c r="R169" i="27"/>
  <c r="K172" i="27"/>
  <c r="Q175" i="27"/>
  <c r="R175" i="27"/>
  <c r="Q180" i="27"/>
  <c r="Q184" i="27"/>
  <c r="R184" i="27"/>
  <c r="Q187" i="27"/>
  <c r="R187" i="27"/>
  <c r="K189" i="27"/>
  <c r="R189" i="27"/>
  <c r="K192" i="27"/>
  <c r="K196" i="27"/>
  <c r="R196" i="27"/>
  <c r="Q199" i="27"/>
  <c r="R199" i="27"/>
  <c r="R203" i="27"/>
  <c r="Q207" i="27"/>
  <c r="R207" i="27"/>
  <c r="Q5" i="27"/>
  <c r="R5" i="27"/>
  <c r="K30" i="27"/>
  <c r="R30" i="27"/>
  <c r="Q37" i="27"/>
  <c r="R37" i="27"/>
  <c r="Q48" i="27"/>
  <c r="R48" i="27"/>
  <c r="Q59" i="27"/>
  <c r="R59" i="27"/>
  <c r="K70" i="27"/>
  <c r="R70" i="27"/>
  <c r="Q91" i="27"/>
  <c r="R91" i="27"/>
  <c r="K98" i="27"/>
  <c r="R98" i="27"/>
  <c r="Q119" i="27"/>
  <c r="R119" i="27"/>
  <c r="Q123" i="27"/>
  <c r="R123" i="27"/>
  <c r="Q135" i="27"/>
  <c r="R135" i="27"/>
  <c r="Q144" i="27"/>
  <c r="R144" i="27"/>
  <c r="Q147" i="27"/>
  <c r="R147" i="27"/>
  <c r="K149" i="27"/>
  <c r="R149" i="27"/>
  <c r="K161" i="27"/>
  <c r="R161" i="27"/>
  <c r="Q167" i="27"/>
  <c r="R167" i="27"/>
  <c r="Q176" i="27"/>
  <c r="R176" i="27"/>
  <c r="Q179" i="27"/>
  <c r="R179" i="27"/>
  <c r="K181" i="27"/>
  <c r="R181" i="27"/>
  <c r="K193" i="27"/>
  <c r="R193" i="27"/>
  <c r="Q200" i="27"/>
  <c r="R200" i="27"/>
  <c r="K204" i="27"/>
  <c r="R204" i="27"/>
  <c r="K208" i="27"/>
  <c r="R208" i="27"/>
  <c r="Q15" i="27"/>
  <c r="R15" i="27"/>
  <c r="K26" i="27"/>
  <c r="R26" i="27"/>
  <c r="Q33" i="27"/>
  <c r="R33" i="27"/>
  <c r="Q40" i="27"/>
  <c r="R40" i="27"/>
  <c r="K44" i="27"/>
  <c r="R44" i="27"/>
  <c r="K52" i="27"/>
  <c r="R52" i="27"/>
  <c r="Q55" i="27"/>
  <c r="R55" i="27"/>
  <c r="Q63" i="27"/>
  <c r="R63" i="27"/>
  <c r="K66" i="27"/>
  <c r="R66" i="27"/>
  <c r="K73" i="27"/>
  <c r="R73" i="27"/>
  <c r="Q77" i="27"/>
  <c r="R77" i="27"/>
  <c r="K84" i="27"/>
  <c r="R84" i="27"/>
  <c r="K88" i="27"/>
  <c r="R88" i="27"/>
  <c r="Q95" i="27"/>
  <c r="R95" i="27"/>
  <c r="K116" i="27"/>
  <c r="R116" i="27"/>
  <c r="K129" i="27"/>
  <c r="R129" i="27"/>
  <c r="K6" i="27"/>
  <c r="R6" i="27"/>
  <c r="Q9" i="27"/>
  <c r="R9" i="27"/>
  <c r="K13" i="27"/>
  <c r="R13" i="27"/>
  <c r="Q16" i="27"/>
  <c r="R16" i="27"/>
  <c r="Q20" i="27"/>
  <c r="R20" i="27"/>
  <c r="Q23" i="27"/>
  <c r="R23" i="27"/>
  <c r="Q27" i="27"/>
  <c r="R27" i="27"/>
  <c r="Q30" i="27"/>
  <c r="K34" i="27"/>
  <c r="R34" i="27"/>
  <c r="K38" i="27"/>
  <c r="R38" i="27"/>
  <c r="Q41" i="27"/>
  <c r="R41" i="27"/>
  <c r="Q45" i="27"/>
  <c r="R45" i="27"/>
  <c r="Q49" i="27"/>
  <c r="R49" i="27"/>
  <c r="Q53" i="27"/>
  <c r="R53" i="27"/>
  <c r="Q56" i="27"/>
  <c r="R56" i="27"/>
  <c r="K60" i="27"/>
  <c r="R60" i="27"/>
  <c r="K64" i="27"/>
  <c r="R64" i="27"/>
  <c r="Q67" i="27"/>
  <c r="R67" i="27"/>
  <c r="Q71" i="27"/>
  <c r="R71" i="27"/>
  <c r="K74" i="27"/>
  <c r="R74" i="27"/>
  <c r="K78" i="27"/>
  <c r="R78" i="27"/>
  <c r="K81" i="27"/>
  <c r="R81" i="27"/>
  <c r="Q85" i="27"/>
  <c r="R85" i="27"/>
  <c r="Q88" i="27"/>
  <c r="K92" i="27"/>
  <c r="R92" i="27"/>
  <c r="K96" i="27"/>
  <c r="R96" i="27"/>
  <c r="Q99" i="27"/>
  <c r="R99" i="27"/>
  <c r="Q103" i="27"/>
  <c r="R103" i="27"/>
  <c r="Q107" i="27"/>
  <c r="R107" i="27"/>
  <c r="K113" i="27"/>
  <c r="R113" i="27"/>
  <c r="Q116" i="27"/>
  <c r="K120" i="27"/>
  <c r="R120" i="27"/>
  <c r="Q124" i="27"/>
  <c r="R124" i="27"/>
  <c r="Q127" i="27"/>
  <c r="R127" i="27"/>
  <c r="Q132" i="27"/>
  <c r="Q136" i="27"/>
  <c r="R136" i="27"/>
  <c r="Q139" i="27"/>
  <c r="R139" i="27"/>
  <c r="K141" i="27"/>
  <c r="R141" i="27"/>
  <c r="K144" i="27"/>
  <c r="K153" i="27"/>
  <c r="R153" i="27"/>
  <c r="K156" i="27"/>
  <c r="Q159" i="27"/>
  <c r="R159" i="27"/>
  <c r="Q168" i="27"/>
  <c r="R168" i="27"/>
  <c r="Q171" i="27"/>
  <c r="R171" i="27"/>
  <c r="K173" i="27"/>
  <c r="R173" i="27"/>
  <c r="K176" i="27"/>
  <c r="K185" i="27"/>
  <c r="R185" i="27"/>
  <c r="K188" i="27"/>
  <c r="Q191" i="27"/>
  <c r="R191" i="27"/>
  <c r="K197" i="27"/>
  <c r="R197" i="27"/>
  <c r="K201" i="27"/>
  <c r="R201" i="27"/>
  <c r="K205" i="27"/>
  <c r="R205" i="27"/>
  <c r="K209" i="27"/>
  <c r="R209" i="27"/>
  <c r="Q18" i="27"/>
  <c r="Q34" i="27"/>
  <c r="Q62" i="27"/>
  <c r="Q78" i="27"/>
  <c r="Q94" i="27"/>
  <c r="Q204" i="27"/>
  <c r="K200" i="27"/>
  <c r="Q10" i="27"/>
  <c r="Q26" i="27"/>
  <c r="Q46" i="27"/>
  <c r="Q70" i="27"/>
  <c r="Q86" i="27"/>
  <c r="K5" i="27"/>
  <c r="K17" i="27"/>
  <c r="K21" i="27"/>
  <c r="K29" i="27"/>
  <c r="K33" i="27"/>
  <c r="K37" i="27"/>
  <c r="K51" i="27"/>
  <c r="K53" i="27"/>
  <c r="K57" i="27"/>
  <c r="K69" i="27"/>
  <c r="K85" i="27"/>
  <c r="Q13" i="27"/>
  <c r="K8" i="27"/>
  <c r="K12" i="27"/>
  <c r="K16" i="27"/>
  <c r="K20" i="27"/>
  <c r="K24" i="27"/>
  <c r="K28" i="27"/>
  <c r="K32" i="27"/>
  <c r="K36" i="27"/>
  <c r="K40" i="27"/>
  <c r="Q44" i="27"/>
  <c r="K48" i="27"/>
  <c r="Q52" i="27"/>
  <c r="K56" i="27"/>
  <c r="Q60" i="27"/>
  <c r="Q65" i="27"/>
  <c r="Q73" i="27"/>
  <c r="Q81" i="27"/>
  <c r="Q89" i="27"/>
  <c r="Q97" i="27"/>
  <c r="Q104" i="27"/>
  <c r="Q113" i="27"/>
  <c r="Q120" i="27"/>
  <c r="Q129" i="27"/>
  <c r="Q133" i="27"/>
  <c r="Q137" i="27"/>
  <c r="Q141" i="27"/>
  <c r="Q145" i="27"/>
  <c r="Q149" i="27"/>
  <c r="Q153" i="27"/>
  <c r="Q157" i="27"/>
  <c r="Q161" i="27"/>
  <c r="Q165" i="27"/>
  <c r="Q169" i="27"/>
  <c r="Q173" i="27"/>
  <c r="Q177" i="27"/>
  <c r="Q181" i="27"/>
  <c r="Q185" i="27"/>
  <c r="Q189" i="27"/>
  <c r="Q193" i="27"/>
  <c r="Q197" i="27"/>
  <c r="Q201" i="27"/>
  <c r="Q205" i="27"/>
  <c r="Q210" i="27"/>
  <c r="K9" i="27"/>
  <c r="K45" i="27"/>
  <c r="K77" i="27"/>
  <c r="K93" i="27"/>
  <c r="K101" i="27"/>
  <c r="Q105" i="27"/>
  <c r="K108" i="27"/>
  <c r="Q121" i="27"/>
  <c r="K124" i="27"/>
  <c r="K25" i="27"/>
  <c r="K41" i="27"/>
  <c r="K43" i="27"/>
  <c r="K49" i="27"/>
  <c r="K59" i="27"/>
  <c r="K61" i="27"/>
  <c r="K67" i="27"/>
  <c r="K75" i="27"/>
  <c r="K83" i="27"/>
  <c r="K91" i="27"/>
  <c r="K99" i="27"/>
  <c r="Q117" i="27"/>
  <c r="K131" i="27"/>
  <c r="K135" i="27"/>
  <c r="K139" i="27"/>
  <c r="K143" i="27"/>
  <c r="K147" i="27"/>
  <c r="K151" i="27"/>
  <c r="K155" i="27"/>
  <c r="K159" i="27"/>
  <c r="K163" i="27"/>
  <c r="K167" i="27"/>
  <c r="K171" i="27"/>
  <c r="K175" i="27"/>
  <c r="K179" i="27"/>
  <c r="K183" i="27"/>
  <c r="K187" i="27"/>
  <c r="K191" i="27"/>
  <c r="K195" i="27"/>
  <c r="K199" i="27"/>
  <c r="K203" i="27"/>
  <c r="Q209" i="27"/>
  <c r="Q68" i="27"/>
  <c r="Q76" i="27"/>
  <c r="Q84" i="27"/>
  <c r="Q92" i="27"/>
  <c r="Q100" i="27"/>
  <c r="K102" i="27"/>
  <c r="Q102" i="27"/>
  <c r="K106" i="27"/>
  <c r="Q106" i="27"/>
  <c r="K110" i="27"/>
  <c r="Q110" i="27"/>
  <c r="K114" i="27"/>
  <c r="Q114" i="27"/>
  <c r="K118" i="27"/>
  <c r="Q118" i="27"/>
  <c r="K122" i="27"/>
  <c r="Q122" i="27"/>
  <c r="K126" i="27"/>
  <c r="Q126" i="27"/>
  <c r="K130" i="27"/>
  <c r="Q130" i="27"/>
  <c r="K134" i="27"/>
  <c r="Q134" i="27"/>
  <c r="K138" i="27"/>
  <c r="Q138" i="27"/>
  <c r="K142" i="27"/>
  <c r="Q142" i="27"/>
  <c r="K146" i="27"/>
  <c r="Q146" i="27"/>
  <c r="K150" i="27"/>
  <c r="Q150" i="27"/>
  <c r="K154" i="27"/>
  <c r="Q154" i="27"/>
  <c r="K158" i="27"/>
  <c r="Q158" i="27"/>
  <c r="K162" i="27"/>
  <c r="Q162" i="27"/>
  <c r="K166" i="27"/>
  <c r="Q166" i="27"/>
  <c r="K170" i="27"/>
  <c r="Q170" i="27"/>
  <c r="K174" i="27"/>
  <c r="Q174" i="27"/>
  <c r="K178" i="27"/>
  <c r="Q178" i="27"/>
  <c r="K182" i="27"/>
  <c r="Q182" i="27"/>
  <c r="K186" i="27"/>
  <c r="Q186" i="27"/>
  <c r="K190" i="27"/>
  <c r="Q190" i="27"/>
  <c r="K194" i="27"/>
  <c r="Q194" i="27"/>
  <c r="K198" i="27"/>
  <c r="Q198" i="27"/>
  <c r="K202" i="27"/>
  <c r="Q202" i="27"/>
  <c r="K206" i="27"/>
  <c r="Q206" i="27"/>
  <c r="J211" i="27"/>
  <c r="K11" i="27"/>
  <c r="K19" i="27"/>
  <c r="K23" i="27"/>
  <c r="K27" i="27"/>
  <c r="K31" i="27"/>
  <c r="K35" i="27"/>
  <c r="K39" i="27"/>
  <c r="K111" i="27"/>
  <c r="K115" i="27"/>
  <c r="K119" i="27"/>
  <c r="K123" i="27"/>
  <c r="K127" i="27"/>
  <c r="K207" i="27"/>
  <c r="K7" i="27"/>
  <c r="K15" i="27"/>
  <c r="K103" i="27"/>
  <c r="K107" i="27"/>
  <c r="Q42" i="27"/>
  <c r="K47" i="27"/>
  <c r="Q50" i="27"/>
  <c r="K55" i="27"/>
  <c r="Q58" i="27"/>
  <c r="K63" i="27"/>
  <c r="Q66" i="27"/>
  <c r="K71" i="27"/>
  <c r="Q74" i="27"/>
  <c r="K79" i="27"/>
  <c r="Q82" i="27"/>
  <c r="K87" i="27"/>
  <c r="Q90" i="27"/>
  <c r="K95" i="27"/>
  <c r="Q98" i="27"/>
  <c r="S5" i="27" l="1"/>
  <c r="I211" i="22"/>
  <c r="H211" i="22"/>
  <c r="G211" i="22"/>
  <c r="F211" i="22"/>
  <c r="E211" i="22"/>
  <c r="D211" i="22"/>
  <c r="K31" i="17" l="1"/>
  <c r="K26" i="17"/>
  <c r="K20" i="17"/>
  <c r="K9" i="17"/>
  <c r="K62" i="16"/>
  <c r="K58" i="16"/>
  <c r="K54" i="16"/>
  <c r="K50" i="16"/>
  <c r="K44" i="16"/>
  <c r="K37" i="16"/>
  <c r="K32" i="16"/>
  <c r="K28" i="16"/>
  <c r="K23" i="16"/>
  <c r="O19" i="16"/>
  <c r="K19" i="16"/>
  <c r="K10" i="16"/>
  <c r="L19" i="16"/>
  <c r="M19" i="16"/>
  <c r="N19" i="16"/>
  <c r="L113" i="15" l="1"/>
  <c r="M113" i="15"/>
  <c r="N113" i="15"/>
  <c r="O113" i="15"/>
  <c r="K113" i="15"/>
  <c r="L108" i="15"/>
  <c r="M108" i="15"/>
  <c r="N108" i="15"/>
  <c r="O108" i="15"/>
  <c r="K108" i="15"/>
  <c r="L99" i="15"/>
  <c r="M99" i="15"/>
  <c r="N99" i="15"/>
  <c r="O99" i="15"/>
  <c r="K99" i="15"/>
  <c r="L87" i="15"/>
  <c r="M87" i="15"/>
  <c r="N87" i="15"/>
  <c r="O87" i="15"/>
  <c r="K87" i="15"/>
  <c r="L79" i="15" l="1"/>
  <c r="M79" i="15"/>
  <c r="N79" i="15"/>
  <c r="O79" i="15"/>
  <c r="K79" i="15"/>
  <c r="L72" i="15"/>
  <c r="M72" i="15"/>
  <c r="N72" i="15"/>
  <c r="O72" i="15"/>
  <c r="K72" i="15"/>
  <c r="L59" i="15"/>
  <c r="M59" i="15"/>
  <c r="N59" i="15"/>
  <c r="O59" i="15"/>
  <c r="K59" i="15"/>
  <c r="L50" i="15"/>
  <c r="M50" i="15"/>
  <c r="N50" i="15"/>
  <c r="O50" i="15"/>
  <c r="K50" i="15"/>
  <c r="L38" i="15"/>
  <c r="M38" i="15"/>
  <c r="N38" i="15"/>
  <c r="O38" i="15"/>
  <c r="K38" i="15"/>
  <c r="L27" i="15"/>
  <c r="M27" i="15"/>
  <c r="N27" i="15"/>
  <c r="O27" i="15"/>
  <c r="K27" i="15"/>
  <c r="L20" i="15"/>
  <c r="M20" i="15"/>
  <c r="N20" i="15"/>
  <c r="O20" i="15"/>
  <c r="K20" i="15"/>
  <c r="L11" i="15"/>
  <c r="M11" i="15"/>
  <c r="N11" i="15"/>
  <c r="O11" i="15"/>
  <c r="K11" i="15"/>
  <c r="L57" i="14" l="1"/>
  <c r="M57" i="14"/>
  <c r="N57" i="14"/>
  <c r="O57" i="14"/>
  <c r="K57" i="14"/>
  <c r="L51" i="14"/>
  <c r="M51" i="14"/>
  <c r="N51" i="14"/>
  <c r="O51" i="14"/>
  <c r="K51" i="14"/>
  <c r="L43" i="14"/>
  <c r="M43" i="14"/>
  <c r="N43" i="14"/>
  <c r="O43" i="14"/>
  <c r="K43" i="14"/>
  <c r="K35" i="14"/>
  <c r="L35" i="14"/>
  <c r="M35" i="14"/>
  <c r="N35" i="14"/>
  <c r="O35" i="14"/>
  <c r="L30" i="14"/>
  <c r="M30" i="14"/>
  <c r="N30" i="14"/>
  <c r="O30" i="14"/>
  <c r="K30" i="14"/>
  <c r="L19" i="14"/>
  <c r="M19" i="14"/>
  <c r="N19" i="14"/>
  <c r="O19" i="14"/>
  <c r="K19" i="14"/>
  <c r="K74" i="12" l="1"/>
  <c r="K70" i="12"/>
  <c r="K66" i="12"/>
  <c r="K61" i="12"/>
  <c r="K56" i="12"/>
  <c r="K51" i="12"/>
  <c r="L51" i="12"/>
  <c r="M51" i="12"/>
  <c r="N51" i="12"/>
  <c r="O51" i="12"/>
  <c r="K35" i="12"/>
  <c r="K12" i="12"/>
  <c r="L67" i="11"/>
  <c r="M67" i="11"/>
  <c r="N67" i="11"/>
  <c r="O67" i="11"/>
  <c r="K67" i="11"/>
  <c r="L62" i="11"/>
  <c r="M62" i="11"/>
  <c r="N62" i="11"/>
  <c r="O62" i="11"/>
  <c r="K62" i="11"/>
  <c r="L53" i="11"/>
  <c r="M53" i="11"/>
  <c r="N53" i="11"/>
  <c r="O53" i="11"/>
  <c r="K53" i="11"/>
  <c r="L48" i="11"/>
  <c r="M48" i="11"/>
  <c r="N48" i="11"/>
  <c r="O48" i="11"/>
  <c r="K48" i="11"/>
  <c r="L42" i="11"/>
  <c r="M42" i="11"/>
  <c r="N42" i="11"/>
  <c r="O42" i="11"/>
  <c r="K42" i="11"/>
  <c r="L36" i="11"/>
  <c r="M36" i="11"/>
  <c r="N36" i="11"/>
  <c r="O36" i="11"/>
  <c r="K36" i="11"/>
  <c r="K26" i="11"/>
  <c r="L26" i="11"/>
  <c r="M26" i="11"/>
  <c r="N26" i="11"/>
  <c r="O26" i="11"/>
  <c r="J165" i="22"/>
  <c r="O165" i="22" s="1"/>
  <c r="Q165" i="22" s="1"/>
  <c r="O15" i="11"/>
  <c r="L15" i="11"/>
  <c r="M15" i="11"/>
  <c r="N15" i="11"/>
  <c r="K15" i="11"/>
  <c r="K78" i="10"/>
  <c r="K71" i="10"/>
  <c r="K63" i="10"/>
  <c r="K52" i="10"/>
  <c r="K42" i="10"/>
  <c r="K34" i="10"/>
  <c r="K25" i="10"/>
  <c r="K136" i="9" l="1"/>
  <c r="K130" i="9"/>
  <c r="K123" i="9"/>
  <c r="K113" i="9"/>
  <c r="K100" i="9"/>
  <c r="K94" i="9"/>
  <c r="K89" i="9"/>
  <c r="K84" i="9"/>
  <c r="K72" i="9"/>
  <c r="K64" i="9"/>
  <c r="K58" i="9"/>
  <c r="L43" i="9"/>
  <c r="M43" i="9"/>
  <c r="N43" i="9"/>
  <c r="O43" i="9"/>
  <c r="K43" i="9"/>
  <c r="K29" i="9"/>
  <c r="L17" i="9"/>
  <c r="M17" i="9"/>
  <c r="N17" i="9"/>
  <c r="O17" i="9"/>
  <c r="K17" i="9"/>
  <c r="K99" i="8" l="1"/>
  <c r="K94" i="8"/>
  <c r="K91" i="8"/>
  <c r="K79" i="8"/>
  <c r="K71" i="8"/>
  <c r="K66" i="8"/>
  <c r="K61" i="8"/>
  <c r="K57" i="8"/>
  <c r="L43" i="8" l="1"/>
  <c r="M43" i="8"/>
  <c r="N43" i="8"/>
  <c r="O43" i="8"/>
  <c r="K43" i="8"/>
  <c r="K36" i="8"/>
  <c r="K33" i="8" l="1"/>
  <c r="K29" i="8"/>
  <c r="K24" i="8"/>
  <c r="K18" i="8"/>
  <c r="L12" i="8"/>
  <c r="K12" i="8"/>
  <c r="M12" i="8"/>
  <c r="N12" i="8"/>
  <c r="O12" i="8"/>
  <c r="K160" i="7" l="1"/>
  <c r="K155" i="7"/>
  <c r="K147" i="7"/>
  <c r="K138" i="7"/>
  <c r="J115" i="22"/>
  <c r="K132" i="7"/>
  <c r="K127" i="7"/>
  <c r="K123" i="7"/>
  <c r="K118" i="7"/>
  <c r="K103" i="7"/>
  <c r="K94" i="7"/>
  <c r="K86" i="7"/>
  <c r="K79" i="7"/>
  <c r="K51" i="7"/>
  <c r="J101" i="22"/>
  <c r="O101" i="22" s="1"/>
  <c r="Q101" i="22" s="1"/>
  <c r="K115" i="22" l="1"/>
  <c r="O115" i="22"/>
  <c r="Q115" i="22" s="1"/>
  <c r="K117" i="6"/>
  <c r="K108" i="6"/>
  <c r="K103" i="6"/>
  <c r="K95" i="6"/>
  <c r="K91" i="6"/>
  <c r="K86" i="6"/>
  <c r="K77" i="6"/>
  <c r="K71" i="6"/>
  <c r="K63" i="6"/>
  <c r="K56" i="6"/>
  <c r="K49" i="6"/>
  <c r="K40" i="6"/>
  <c r="K23" i="6"/>
  <c r="K13" i="6"/>
  <c r="K9" i="6"/>
  <c r="L143" i="5"/>
  <c r="M143" i="5"/>
  <c r="N143" i="5"/>
  <c r="O143" i="5"/>
  <c r="K143" i="5"/>
  <c r="L136" i="5"/>
  <c r="M136" i="5"/>
  <c r="N136" i="5"/>
  <c r="O136" i="5"/>
  <c r="K136" i="5"/>
  <c r="L132" i="5"/>
  <c r="M132" i="5"/>
  <c r="N132" i="5"/>
  <c r="O132" i="5"/>
  <c r="K132" i="5"/>
  <c r="L128" i="5"/>
  <c r="M128" i="5"/>
  <c r="N128" i="5"/>
  <c r="O128" i="5"/>
  <c r="K128" i="5"/>
  <c r="L124" i="5" l="1"/>
  <c r="M124" i="5"/>
  <c r="N124" i="5"/>
  <c r="O124" i="5"/>
  <c r="K124" i="5"/>
  <c r="L118" i="5"/>
  <c r="M118" i="5"/>
  <c r="N118" i="5"/>
  <c r="O118" i="5"/>
  <c r="K118" i="5"/>
  <c r="L112" i="5"/>
  <c r="M112" i="5"/>
  <c r="N112" i="5"/>
  <c r="O112" i="5"/>
  <c r="K112" i="5"/>
  <c r="L104" i="5"/>
  <c r="M104" i="5"/>
  <c r="N104" i="5"/>
  <c r="O104" i="5"/>
  <c r="K104" i="5"/>
  <c r="L91" i="5"/>
  <c r="M91" i="5"/>
  <c r="N91" i="5"/>
  <c r="O91" i="5"/>
  <c r="K91" i="5"/>
  <c r="L85" i="5" l="1"/>
  <c r="M85" i="5"/>
  <c r="N85" i="5"/>
  <c r="O85" i="5"/>
  <c r="K85" i="5"/>
  <c r="L77" i="5"/>
  <c r="M77" i="5"/>
  <c r="N77" i="5"/>
  <c r="O77" i="5"/>
  <c r="K77" i="5"/>
  <c r="L73" i="5"/>
  <c r="M73" i="5"/>
  <c r="N73" i="5"/>
  <c r="O73" i="5"/>
  <c r="K73" i="5"/>
  <c r="L68" i="5"/>
  <c r="M68" i="5"/>
  <c r="N68" i="5"/>
  <c r="O68" i="5"/>
  <c r="K68" i="5"/>
  <c r="L59" i="5"/>
  <c r="M59" i="5"/>
  <c r="N59" i="5"/>
  <c r="O59" i="5"/>
  <c r="K59" i="5"/>
  <c r="L54" i="5"/>
  <c r="M54" i="5"/>
  <c r="N54" i="5"/>
  <c r="O54" i="5"/>
  <c r="K54" i="5"/>
  <c r="L50" i="5"/>
  <c r="M50" i="5"/>
  <c r="N50" i="5"/>
  <c r="O50" i="5"/>
  <c r="K50" i="5"/>
  <c r="L45" i="5"/>
  <c r="M45" i="5"/>
  <c r="N45" i="5"/>
  <c r="O45" i="5"/>
  <c r="K45" i="5"/>
  <c r="L41" i="5"/>
  <c r="M41" i="5"/>
  <c r="N41" i="5"/>
  <c r="O41" i="5"/>
  <c r="K41" i="5"/>
  <c r="L36" i="5"/>
  <c r="M36" i="5"/>
  <c r="N36" i="5"/>
  <c r="O36" i="5"/>
  <c r="K36" i="5"/>
  <c r="L32" i="5"/>
  <c r="M32" i="5"/>
  <c r="N32" i="5"/>
  <c r="O32" i="5"/>
  <c r="K32" i="5"/>
  <c r="L29" i="5"/>
  <c r="M29" i="5"/>
  <c r="N29" i="5"/>
  <c r="O29" i="5"/>
  <c r="K29" i="5"/>
  <c r="L21" i="5"/>
  <c r="M21" i="5"/>
  <c r="N21" i="5"/>
  <c r="O21" i="5"/>
  <c r="K21" i="5"/>
  <c r="L80" i="4"/>
  <c r="M80" i="4"/>
  <c r="N80" i="4"/>
  <c r="O80" i="4"/>
  <c r="K80" i="4"/>
  <c r="L73" i="4"/>
  <c r="M73" i="4"/>
  <c r="N73" i="4"/>
  <c r="O73" i="4"/>
  <c r="K73" i="4"/>
  <c r="L69" i="4"/>
  <c r="M69" i="4"/>
  <c r="N69" i="4"/>
  <c r="O69" i="4"/>
  <c r="K69" i="4"/>
  <c r="L64" i="4"/>
  <c r="M64" i="4"/>
  <c r="N64" i="4"/>
  <c r="O64" i="4"/>
  <c r="K64" i="4"/>
  <c r="L59" i="4"/>
  <c r="M59" i="4"/>
  <c r="N59" i="4"/>
  <c r="O59" i="4"/>
  <c r="K59" i="4"/>
  <c r="L53" i="4"/>
  <c r="M53" i="4"/>
  <c r="N53" i="4"/>
  <c r="O53" i="4"/>
  <c r="K53" i="4"/>
  <c r="L49" i="4"/>
  <c r="M49" i="4"/>
  <c r="N49" i="4"/>
  <c r="O49" i="4"/>
  <c r="K49" i="4"/>
  <c r="L43" i="4"/>
  <c r="M43" i="4"/>
  <c r="N43" i="4"/>
  <c r="O43" i="4"/>
  <c r="K43" i="4"/>
  <c r="L37" i="4"/>
  <c r="M37" i="4"/>
  <c r="N37" i="4"/>
  <c r="O37" i="4"/>
  <c r="K37" i="4"/>
  <c r="L30" i="4"/>
  <c r="M30" i="4"/>
  <c r="N30" i="4"/>
  <c r="O30" i="4"/>
  <c r="K30" i="4"/>
  <c r="L23" i="4"/>
  <c r="M23" i="4"/>
  <c r="N23" i="4"/>
  <c r="O23" i="4"/>
  <c r="K23" i="4"/>
  <c r="L15" i="4"/>
  <c r="M15" i="4"/>
  <c r="N15" i="4"/>
  <c r="O15" i="4"/>
  <c r="K15" i="4"/>
  <c r="L92" i="3"/>
  <c r="M92" i="3"/>
  <c r="N92" i="3"/>
  <c r="O92" i="3"/>
  <c r="K92" i="3"/>
  <c r="L83" i="3"/>
  <c r="M83" i="3"/>
  <c r="N83" i="3"/>
  <c r="O83" i="3"/>
  <c r="K83" i="3"/>
  <c r="L73" i="3"/>
  <c r="M73" i="3"/>
  <c r="N73" i="3"/>
  <c r="O73" i="3"/>
  <c r="K73" i="3"/>
  <c r="K65" i="3"/>
  <c r="L65" i="3"/>
  <c r="M65" i="3"/>
  <c r="N65" i="3"/>
  <c r="O65" i="3"/>
  <c r="L62" i="3"/>
  <c r="M62" i="3"/>
  <c r="N62" i="3"/>
  <c r="O62" i="3"/>
  <c r="K62" i="3"/>
  <c r="L59" i="3"/>
  <c r="M59" i="3"/>
  <c r="N59" i="3"/>
  <c r="O59" i="3"/>
  <c r="K59" i="3"/>
  <c r="L51" i="3"/>
  <c r="M51" i="3"/>
  <c r="N51" i="3"/>
  <c r="O51" i="3"/>
  <c r="K51" i="3"/>
  <c r="L44" i="3"/>
  <c r="M44" i="3"/>
  <c r="N44" i="3"/>
  <c r="O44" i="3"/>
  <c r="K44" i="3"/>
  <c r="L36" i="3"/>
  <c r="M36" i="3"/>
  <c r="N36" i="3"/>
  <c r="O36" i="3"/>
  <c r="K36" i="3"/>
  <c r="L33" i="3"/>
  <c r="M33" i="3"/>
  <c r="N33" i="3"/>
  <c r="O33" i="3"/>
  <c r="K33" i="3"/>
  <c r="L27" i="3"/>
  <c r="M27" i="3"/>
  <c r="N27" i="3"/>
  <c r="O27" i="3"/>
  <c r="K27" i="3"/>
  <c r="O22" i="3"/>
  <c r="L22" i="3"/>
  <c r="M22" i="3"/>
  <c r="N22" i="3"/>
  <c r="K22" i="3"/>
  <c r="K144" i="13"/>
  <c r="K132" i="13"/>
  <c r="K118" i="13"/>
  <c r="K101" i="13"/>
  <c r="K84" i="13"/>
  <c r="K77" i="13"/>
  <c r="K103" i="2"/>
  <c r="L22" i="13"/>
  <c r="M22" i="13"/>
  <c r="N22" i="13"/>
  <c r="O22" i="13"/>
  <c r="K22" i="13"/>
  <c r="J16" i="22" l="1"/>
  <c r="O16" i="22" s="1"/>
  <c r="Q16" i="22" s="1"/>
  <c r="J6" i="22" l="1"/>
  <c r="J7" i="22"/>
  <c r="J8" i="22"/>
  <c r="J9" i="22"/>
  <c r="J10" i="22"/>
  <c r="J11" i="22"/>
  <c r="J12" i="22"/>
  <c r="J13" i="22"/>
  <c r="J14" i="22"/>
  <c r="J15" i="22"/>
  <c r="K16" i="22"/>
  <c r="J17" i="22"/>
  <c r="J18" i="22"/>
  <c r="J19" i="22"/>
  <c r="J20" i="22"/>
  <c r="J21" i="22"/>
  <c r="J22" i="22"/>
  <c r="J23" i="22"/>
  <c r="J24" i="22"/>
  <c r="J25" i="22"/>
  <c r="J26" i="22"/>
  <c r="J27" i="22"/>
  <c r="J28" i="22"/>
  <c r="J29" i="22"/>
  <c r="J30" i="22"/>
  <c r="J31" i="22"/>
  <c r="J32" i="22"/>
  <c r="J33" i="22"/>
  <c r="J34" i="22"/>
  <c r="J35" i="22"/>
  <c r="J36" i="22"/>
  <c r="J37" i="22"/>
  <c r="J38" i="22"/>
  <c r="J39" i="22"/>
  <c r="J40" i="22"/>
  <c r="J41" i="22"/>
  <c r="J42" i="22"/>
  <c r="J43" i="22"/>
  <c r="J44" i="22"/>
  <c r="J45" i="22"/>
  <c r="J46" i="22"/>
  <c r="J47" i="22"/>
  <c r="J48" i="22"/>
  <c r="J49" i="22"/>
  <c r="J50" i="22"/>
  <c r="J51" i="22"/>
  <c r="J52" i="22"/>
  <c r="J53" i="22"/>
  <c r="J54" i="22"/>
  <c r="J55" i="22"/>
  <c r="J56" i="22"/>
  <c r="J57" i="22"/>
  <c r="J58" i="22"/>
  <c r="J59" i="22"/>
  <c r="J60" i="22"/>
  <c r="J61" i="22"/>
  <c r="J62" i="22"/>
  <c r="J63" i="22"/>
  <c r="J64" i="22"/>
  <c r="J65" i="22"/>
  <c r="J66" i="22"/>
  <c r="J67" i="22"/>
  <c r="J68" i="22"/>
  <c r="J69" i="22"/>
  <c r="J70" i="22"/>
  <c r="J71" i="22"/>
  <c r="J72" i="22"/>
  <c r="J73" i="22"/>
  <c r="J74" i="22"/>
  <c r="J75" i="22"/>
  <c r="J76" i="22"/>
  <c r="J77" i="22"/>
  <c r="J78" i="22"/>
  <c r="J79" i="22"/>
  <c r="J80" i="22"/>
  <c r="J81" i="22"/>
  <c r="J82" i="22"/>
  <c r="J83" i="22"/>
  <c r="J84" i="22"/>
  <c r="J85" i="22"/>
  <c r="J86" i="22"/>
  <c r="J87" i="22"/>
  <c r="J88" i="22"/>
  <c r="J89" i="22"/>
  <c r="J90" i="22"/>
  <c r="J91" i="22"/>
  <c r="J92" i="22"/>
  <c r="J93" i="22"/>
  <c r="J94" i="22"/>
  <c r="J95" i="22"/>
  <c r="J96" i="22"/>
  <c r="J97" i="22"/>
  <c r="J98" i="22"/>
  <c r="J99" i="22"/>
  <c r="J100" i="22"/>
  <c r="K101" i="22"/>
  <c r="J102" i="22"/>
  <c r="J103" i="22"/>
  <c r="J104" i="22"/>
  <c r="J105" i="22"/>
  <c r="J106" i="22"/>
  <c r="J107" i="22"/>
  <c r="J108" i="22"/>
  <c r="J109" i="22"/>
  <c r="J110" i="22"/>
  <c r="J111" i="22"/>
  <c r="J112" i="22"/>
  <c r="J113" i="22"/>
  <c r="J114" i="22"/>
  <c r="J116" i="22"/>
  <c r="J117" i="22"/>
  <c r="J118" i="22"/>
  <c r="J119" i="22"/>
  <c r="J120" i="22"/>
  <c r="J121" i="22"/>
  <c r="J122" i="22"/>
  <c r="J123" i="22"/>
  <c r="J124" i="22"/>
  <c r="J125" i="22"/>
  <c r="J126" i="22"/>
  <c r="J127" i="22"/>
  <c r="J128" i="22"/>
  <c r="J129" i="22"/>
  <c r="J130" i="22"/>
  <c r="J131" i="22"/>
  <c r="J132" i="22"/>
  <c r="J133" i="22"/>
  <c r="J134" i="22"/>
  <c r="J135" i="22"/>
  <c r="J136" i="22"/>
  <c r="J137" i="22"/>
  <c r="J138" i="22"/>
  <c r="J139" i="22"/>
  <c r="J140" i="22"/>
  <c r="J141" i="22"/>
  <c r="J142" i="22"/>
  <c r="J143" i="22"/>
  <c r="J144" i="22"/>
  <c r="J145" i="22"/>
  <c r="J146" i="22"/>
  <c r="J147" i="22"/>
  <c r="J148" i="22"/>
  <c r="J149" i="22"/>
  <c r="J150" i="22"/>
  <c r="J151" i="22"/>
  <c r="J152" i="22"/>
  <c r="J153" i="22"/>
  <c r="J154" i="22"/>
  <c r="J155" i="22"/>
  <c r="J156" i="22"/>
  <c r="J157" i="22"/>
  <c r="J158" i="22"/>
  <c r="J159" i="22"/>
  <c r="J160" i="22"/>
  <c r="J161" i="22"/>
  <c r="J162" i="22"/>
  <c r="J163" i="22"/>
  <c r="J164" i="22"/>
  <c r="K165" i="22"/>
  <c r="J166" i="22"/>
  <c r="J167" i="22"/>
  <c r="J168" i="22"/>
  <c r="J169" i="22"/>
  <c r="J170" i="22"/>
  <c r="J171" i="22"/>
  <c r="J172" i="22"/>
  <c r="J173" i="22"/>
  <c r="J174" i="22"/>
  <c r="J175" i="22"/>
  <c r="J176" i="22"/>
  <c r="J177" i="22"/>
  <c r="J178" i="22"/>
  <c r="J179" i="22"/>
  <c r="J180" i="22"/>
  <c r="J181" i="22"/>
  <c r="J182" i="22"/>
  <c r="J183" i="22"/>
  <c r="J184" i="22"/>
  <c r="J185" i="22"/>
  <c r="J186" i="22"/>
  <c r="J187" i="22"/>
  <c r="J188" i="22"/>
  <c r="J189" i="22"/>
  <c r="J190" i="22"/>
  <c r="J191" i="22"/>
  <c r="J192" i="22"/>
  <c r="J193" i="22"/>
  <c r="J194" i="22"/>
  <c r="J195" i="22"/>
  <c r="J196" i="22"/>
  <c r="J197" i="22"/>
  <c r="J198" i="22"/>
  <c r="J199" i="22"/>
  <c r="J200" i="22"/>
  <c r="J201" i="22"/>
  <c r="J202" i="22"/>
  <c r="J203" i="22"/>
  <c r="J204" i="22"/>
  <c r="J205" i="22"/>
  <c r="J206" i="22"/>
  <c r="J207" i="22"/>
  <c r="J208" i="22"/>
  <c r="J209" i="22"/>
  <c r="N210" i="22"/>
  <c r="L210" i="22"/>
  <c r="K209" i="22" l="1"/>
  <c r="O209" i="22"/>
  <c r="Q209" i="22" s="1"/>
  <c r="K193" i="22"/>
  <c r="O193" i="22"/>
  <c r="Q193" i="22" s="1"/>
  <c r="K206" i="22"/>
  <c r="O206" i="22"/>
  <c r="Q206" i="22" s="1"/>
  <c r="K202" i="22"/>
  <c r="O202" i="22"/>
  <c r="Q202" i="22" s="1"/>
  <c r="K198" i="22"/>
  <c r="O198" i="22"/>
  <c r="Q198" i="22" s="1"/>
  <c r="K194" i="22"/>
  <c r="O194" i="22"/>
  <c r="Q194" i="22" s="1"/>
  <c r="K190" i="22"/>
  <c r="O190" i="22"/>
  <c r="Q190" i="22" s="1"/>
  <c r="K186" i="22"/>
  <c r="O186" i="22"/>
  <c r="Q186" i="22" s="1"/>
  <c r="K182" i="22"/>
  <c r="O182" i="22"/>
  <c r="Q182" i="22" s="1"/>
  <c r="K178" i="22"/>
  <c r="O178" i="22"/>
  <c r="Q178" i="22" s="1"/>
  <c r="K174" i="22"/>
  <c r="O174" i="22"/>
  <c r="Q174" i="22" s="1"/>
  <c r="K170" i="22"/>
  <c r="O170" i="22"/>
  <c r="Q170" i="22" s="1"/>
  <c r="K166" i="22"/>
  <c r="O166" i="22"/>
  <c r="Q166" i="22" s="1"/>
  <c r="K162" i="22"/>
  <c r="O162" i="22"/>
  <c r="Q162" i="22" s="1"/>
  <c r="K158" i="22"/>
  <c r="O158" i="22"/>
  <c r="Q158" i="22" s="1"/>
  <c r="K154" i="22"/>
  <c r="O154" i="22"/>
  <c r="Q154" i="22" s="1"/>
  <c r="K150" i="22"/>
  <c r="O150" i="22"/>
  <c r="Q150" i="22" s="1"/>
  <c r="K146" i="22"/>
  <c r="O146" i="22"/>
  <c r="Q146" i="22" s="1"/>
  <c r="K142" i="22"/>
  <c r="O142" i="22"/>
  <c r="Q142" i="22" s="1"/>
  <c r="K138" i="22"/>
  <c r="O138" i="22"/>
  <c r="Q138" i="22" s="1"/>
  <c r="K134" i="22"/>
  <c r="O134" i="22"/>
  <c r="Q134" i="22" s="1"/>
  <c r="K130" i="22"/>
  <c r="O130" i="22"/>
  <c r="Q130" i="22" s="1"/>
  <c r="K126" i="22"/>
  <c r="O126" i="22"/>
  <c r="Q126" i="22" s="1"/>
  <c r="K122" i="22"/>
  <c r="O122" i="22"/>
  <c r="Q122" i="22" s="1"/>
  <c r="K118" i="22"/>
  <c r="O118" i="22"/>
  <c r="Q118" i="22" s="1"/>
  <c r="K113" i="22"/>
  <c r="O113" i="22"/>
  <c r="Q113" i="22" s="1"/>
  <c r="K109" i="22"/>
  <c r="O109" i="22"/>
  <c r="Q109" i="22" s="1"/>
  <c r="K105" i="22"/>
  <c r="O105" i="22"/>
  <c r="Q105" i="22" s="1"/>
  <c r="K97" i="22"/>
  <c r="O97" i="22"/>
  <c r="Q97" i="22" s="1"/>
  <c r="K93" i="22"/>
  <c r="O93" i="22"/>
  <c r="Q93" i="22" s="1"/>
  <c r="K89" i="22"/>
  <c r="O89" i="22"/>
  <c r="Q89" i="22" s="1"/>
  <c r="K85" i="22"/>
  <c r="O85" i="22"/>
  <c r="Q85" i="22" s="1"/>
  <c r="K81" i="22"/>
  <c r="O81" i="22"/>
  <c r="Q81" i="22" s="1"/>
  <c r="K77" i="22"/>
  <c r="O77" i="22"/>
  <c r="Q77" i="22" s="1"/>
  <c r="K73" i="22"/>
  <c r="O73" i="22"/>
  <c r="Q73" i="22" s="1"/>
  <c r="K69" i="22"/>
  <c r="O69" i="22"/>
  <c r="Q69" i="22" s="1"/>
  <c r="K65" i="22"/>
  <c r="O65" i="22"/>
  <c r="Q65" i="22" s="1"/>
  <c r="K61" i="22"/>
  <c r="O61" i="22"/>
  <c r="Q61" i="22" s="1"/>
  <c r="K57" i="22"/>
  <c r="O57" i="22"/>
  <c r="Q57" i="22" s="1"/>
  <c r="K53" i="22"/>
  <c r="O53" i="22"/>
  <c r="Q53" i="22" s="1"/>
  <c r="K49" i="22"/>
  <c r="O49" i="22"/>
  <c r="Q49" i="22" s="1"/>
  <c r="K45" i="22"/>
  <c r="O45" i="22"/>
  <c r="Q45" i="22" s="1"/>
  <c r="K41" i="22"/>
  <c r="O41" i="22"/>
  <c r="Q41" i="22" s="1"/>
  <c r="K37" i="22"/>
  <c r="O37" i="22"/>
  <c r="Q37" i="22" s="1"/>
  <c r="K33" i="22"/>
  <c r="O33" i="22"/>
  <c r="Q33" i="22" s="1"/>
  <c r="K29" i="22"/>
  <c r="O29" i="22"/>
  <c r="Q29" i="22" s="1"/>
  <c r="K25" i="22"/>
  <c r="O25" i="22"/>
  <c r="Q25" i="22" s="1"/>
  <c r="K21" i="22"/>
  <c r="O21" i="22"/>
  <c r="Q21" i="22" s="1"/>
  <c r="K17" i="22"/>
  <c r="O17" i="22"/>
  <c r="Q17" i="22" s="1"/>
  <c r="K13" i="22"/>
  <c r="O13" i="22"/>
  <c r="Q13" i="22" s="1"/>
  <c r="K9" i="22"/>
  <c r="O9" i="22"/>
  <c r="Q9" i="22" s="1"/>
  <c r="K201" i="22"/>
  <c r="O201" i="22"/>
  <c r="Q201" i="22" s="1"/>
  <c r="K189" i="22"/>
  <c r="O189" i="22"/>
  <c r="Q189" i="22" s="1"/>
  <c r="K177" i="22"/>
  <c r="O177" i="22"/>
  <c r="Q177" i="22" s="1"/>
  <c r="K161" i="22"/>
  <c r="O161" i="22"/>
  <c r="Q161" i="22" s="1"/>
  <c r="K145" i="22"/>
  <c r="O145" i="22"/>
  <c r="Q145" i="22" s="1"/>
  <c r="K129" i="22"/>
  <c r="O129" i="22"/>
  <c r="Q129" i="22" s="1"/>
  <c r="K117" i="22"/>
  <c r="O117" i="22"/>
  <c r="Q117" i="22" s="1"/>
  <c r="K108" i="22"/>
  <c r="O108" i="22"/>
  <c r="Q108" i="22" s="1"/>
  <c r="K100" i="22"/>
  <c r="O100" i="22"/>
  <c r="Q100" i="22" s="1"/>
  <c r="K96" i="22"/>
  <c r="O96" i="22"/>
  <c r="Q96" i="22" s="1"/>
  <c r="K92" i="22"/>
  <c r="O92" i="22"/>
  <c r="Q92" i="22" s="1"/>
  <c r="K84" i="22"/>
  <c r="O84" i="22"/>
  <c r="Q84" i="22" s="1"/>
  <c r="K76" i="22"/>
  <c r="O76" i="22"/>
  <c r="Q76" i="22" s="1"/>
  <c r="K72" i="22"/>
  <c r="O72" i="22"/>
  <c r="Q72" i="22" s="1"/>
  <c r="K68" i="22"/>
  <c r="O68" i="22"/>
  <c r="Q68" i="22" s="1"/>
  <c r="K64" i="22"/>
  <c r="O64" i="22"/>
  <c r="Q64" i="22" s="1"/>
  <c r="K60" i="22"/>
  <c r="O60" i="22"/>
  <c r="Q60" i="22" s="1"/>
  <c r="K56" i="22"/>
  <c r="O56" i="22"/>
  <c r="Q56" i="22" s="1"/>
  <c r="K52" i="22"/>
  <c r="O52" i="22"/>
  <c r="Q52" i="22" s="1"/>
  <c r="K48" i="22"/>
  <c r="O48" i="22"/>
  <c r="Q48" i="22" s="1"/>
  <c r="K44" i="22"/>
  <c r="O44" i="22"/>
  <c r="Q44" i="22" s="1"/>
  <c r="K40" i="22"/>
  <c r="O40" i="22"/>
  <c r="Q40" i="22" s="1"/>
  <c r="K36" i="22"/>
  <c r="O36" i="22"/>
  <c r="Q36" i="22" s="1"/>
  <c r="K32" i="22"/>
  <c r="O32" i="22"/>
  <c r="Q32" i="22" s="1"/>
  <c r="K28" i="22"/>
  <c r="O28" i="22"/>
  <c r="Q28" i="22" s="1"/>
  <c r="K24" i="22"/>
  <c r="O24" i="22"/>
  <c r="Q24" i="22" s="1"/>
  <c r="K20" i="22"/>
  <c r="O20" i="22"/>
  <c r="Q20" i="22" s="1"/>
  <c r="K12" i="22"/>
  <c r="O12" i="22"/>
  <c r="Q12" i="22" s="1"/>
  <c r="K8" i="22"/>
  <c r="O8" i="22"/>
  <c r="Q8" i="22" s="1"/>
  <c r="K205" i="22"/>
  <c r="O205" i="22"/>
  <c r="Q205" i="22" s="1"/>
  <c r="K153" i="22"/>
  <c r="O153" i="22"/>
  <c r="Q153" i="22" s="1"/>
  <c r="K137" i="22"/>
  <c r="O137" i="22"/>
  <c r="Q137" i="22" s="1"/>
  <c r="K121" i="22"/>
  <c r="O121" i="22"/>
  <c r="Q121" i="22" s="1"/>
  <c r="K88" i="22"/>
  <c r="O88" i="22"/>
  <c r="Q88" i="22" s="1"/>
  <c r="K208" i="22"/>
  <c r="O208" i="22"/>
  <c r="Q208" i="22" s="1"/>
  <c r="K192" i="22"/>
  <c r="O192" i="22"/>
  <c r="Q192" i="22" s="1"/>
  <c r="K172" i="22"/>
  <c r="O172" i="22"/>
  <c r="Q172" i="22" s="1"/>
  <c r="K156" i="22"/>
  <c r="O156" i="22"/>
  <c r="Q156" i="22" s="1"/>
  <c r="K140" i="22"/>
  <c r="O140" i="22"/>
  <c r="Q140" i="22" s="1"/>
  <c r="K132" i="22"/>
  <c r="O132" i="22"/>
  <c r="Q132" i="22" s="1"/>
  <c r="K128" i="22"/>
  <c r="O128" i="22"/>
  <c r="Q128" i="22" s="1"/>
  <c r="K124" i="22"/>
  <c r="O124" i="22"/>
  <c r="Q124" i="22" s="1"/>
  <c r="K120" i="22"/>
  <c r="O120" i="22"/>
  <c r="Q120" i="22" s="1"/>
  <c r="K116" i="22"/>
  <c r="O116" i="22"/>
  <c r="Q116" i="22" s="1"/>
  <c r="K111" i="22"/>
  <c r="O111" i="22"/>
  <c r="Q111" i="22" s="1"/>
  <c r="K107" i="22"/>
  <c r="O107" i="22"/>
  <c r="Q107" i="22" s="1"/>
  <c r="K103" i="22"/>
  <c r="O103" i="22"/>
  <c r="Q103" i="22" s="1"/>
  <c r="K99" i="22"/>
  <c r="O99" i="22"/>
  <c r="Q99" i="22" s="1"/>
  <c r="K95" i="22"/>
  <c r="O95" i="22"/>
  <c r="Q95" i="22" s="1"/>
  <c r="K91" i="22"/>
  <c r="O91" i="22"/>
  <c r="Q91" i="22" s="1"/>
  <c r="K87" i="22"/>
  <c r="O87" i="22"/>
  <c r="Q87" i="22" s="1"/>
  <c r="K83" i="22"/>
  <c r="O83" i="22"/>
  <c r="Q83" i="22" s="1"/>
  <c r="K79" i="22"/>
  <c r="O79" i="22"/>
  <c r="Q79" i="22" s="1"/>
  <c r="K75" i="22"/>
  <c r="O75" i="22"/>
  <c r="Q75" i="22" s="1"/>
  <c r="K71" i="22"/>
  <c r="O71" i="22"/>
  <c r="Q71" i="22" s="1"/>
  <c r="K67" i="22"/>
  <c r="O67" i="22"/>
  <c r="Q67" i="22" s="1"/>
  <c r="K63" i="22"/>
  <c r="O63" i="22"/>
  <c r="Q63" i="22" s="1"/>
  <c r="K59" i="22"/>
  <c r="O59" i="22"/>
  <c r="Q59" i="22" s="1"/>
  <c r="K55" i="22"/>
  <c r="O55" i="22"/>
  <c r="Q55" i="22" s="1"/>
  <c r="K51" i="22"/>
  <c r="O51" i="22"/>
  <c r="Q51" i="22" s="1"/>
  <c r="K47" i="22"/>
  <c r="O47" i="22"/>
  <c r="Q47" i="22" s="1"/>
  <c r="K43" i="22"/>
  <c r="O43" i="22"/>
  <c r="Q43" i="22" s="1"/>
  <c r="K39" i="22"/>
  <c r="O39" i="22"/>
  <c r="Q39" i="22" s="1"/>
  <c r="K35" i="22"/>
  <c r="O35" i="22"/>
  <c r="Q35" i="22" s="1"/>
  <c r="K31" i="22"/>
  <c r="O31" i="22"/>
  <c r="Q31" i="22" s="1"/>
  <c r="K27" i="22"/>
  <c r="O27" i="22"/>
  <c r="Q27" i="22" s="1"/>
  <c r="K23" i="22"/>
  <c r="O23" i="22"/>
  <c r="Q23" i="22" s="1"/>
  <c r="K19" i="22"/>
  <c r="O19" i="22"/>
  <c r="Q19" i="22" s="1"/>
  <c r="K15" i="22"/>
  <c r="O15" i="22"/>
  <c r="Q15" i="22" s="1"/>
  <c r="K11" i="22"/>
  <c r="O11" i="22"/>
  <c r="Q11" i="22" s="1"/>
  <c r="K7" i="22"/>
  <c r="O7" i="22"/>
  <c r="Q7" i="22" s="1"/>
  <c r="K197" i="22"/>
  <c r="O197" i="22"/>
  <c r="Q197" i="22" s="1"/>
  <c r="K185" i="22"/>
  <c r="O185" i="22"/>
  <c r="Q185" i="22" s="1"/>
  <c r="K181" i="22"/>
  <c r="O181" i="22"/>
  <c r="Q181" i="22" s="1"/>
  <c r="K173" i="22"/>
  <c r="O173" i="22"/>
  <c r="Q173" i="22" s="1"/>
  <c r="K169" i="22"/>
  <c r="O169" i="22"/>
  <c r="Q169" i="22" s="1"/>
  <c r="K157" i="22"/>
  <c r="O157" i="22"/>
  <c r="Q157" i="22" s="1"/>
  <c r="K149" i="22"/>
  <c r="O149" i="22"/>
  <c r="Q149" i="22" s="1"/>
  <c r="K141" i="22"/>
  <c r="O141" i="22"/>
  <c r="Q141" i="22" s="1"/>
  <c r="K133" i="22"/>
  <c r="O133" i="22"/>
  <c r="Q133" i="22" s="1"/>
  <c r="K125" i="22"/>
  <c r="O125" i="22"/>
  <c r="Q125" i="22" s="1"/>
  <c r="K112" i="22"/>
  <c r="O112" i="22"/>
  <c r="Q112" i="22" s="1"/>
  <c r="K104" i="22"/>
  <c r="O104" i="22"/>
  <c r="Q104" i="22" s="1"/>
  <c r="K80" i="22"/>
  <c r="O80" i="22"/>
  <c r="Q80" i="22" s="1"/>
  <c r="K204" i="22"/>
  <c r="O204" i="22"/>
  <c r="Q204" i="22" s="1"/>
  <c r="K200" i="22"/>
  <c r="O200" i="22"/>
  <c r="Q200" i="22" s="1"/>
  <c r="K196" i="22"/>
  <c r="O196" i="22"/>
  <c r="Q196" i="22" s="1"/>
  <c r="K188" i="22"/>
  <c r="O188" i="22"/>
  <c r="Q188" i="22" s="1"/>
  <c r="K184" i="22"/>
  <c r="O184" i="22"/>
  <c r="Q184" i="22" s="1"/>
  <c r="K180" i="22"/>
  <c r="O180" i="22"/>
  <c r="Q180" i="22" s="1"/>
  <c r="K176" i="22"/>
  <c r="O176" i="22"/>
  <c r="Q176" i="22" s="1"/>
  <c r="K168" i="22"/>
  <c r="O168" i="22"/>
  <c r="Q168" i="22" s="1"/>
  <c r="K164" i="22"/>
  <c r="O164" i="22"/>
  <c r="Q164" i="22" s="1"/>
  <c r="K160" i="22"/>
  <c r="O160" i="22"/>
  <c r="Q160" i="22" s="1"/>
  <c r="K152" i="22"/>
  <c r="O152" i="22"/>
  <c r="Q152" i="22" s="1"/>
  <c r="K148" i="22"/>
  <c r="O148" i="22"/>
  <c r="Q148" i="22" s="1"/>
  <c r="K144" i="22"/>
  <c r="O144" i="22"/>
  <c r="Q144" i="22" s="1"/>
  <c r="K136" i="22"/>
  <c r="O136" i="22"/>
  <c r="Q136" i="22" s="1"/>
  <c r="K207" i="22"/>
  <c r="O207" i="22"/>
  <c r="Q207" i="22" s="1"/>
  <c r="K203" i="22"/>
  <c r="O203" i="22"/>
  <c r="Q203" i="22" s="1"/>
  <c r="K199" i="22"/>
  <c r="O199" i="22"/>
  <c r="Q199" i="22" s="1"/>
  <c r="K195" i="22"/>
  <c r="O195" i="22"/>
  <c r="Q195" i="22" s="1"/>
  <c r="K191" i="22"/>
  <c r="O191" i="22"/>
  <c r="Q191" i="22" s="1"/>
  <c r="K187" i="22"/>
  <c r="O187" i="22"/>
  <c r="Q187" i="22" s="1"/>
  <c r="K183" i="22"/>
  <c r="O183" i="22"/>
  <c r="Q183" i="22" s="1"/>
  <c r="K179" i="22"/>
  <c r="O179" i="22"/>
  <c r="Q179" i="22" s="1"/>
  <c r="K175" i="22"/>
  <c r="O175" i="22"/>
  <c r="Q175" i="22" s="1"/>
  <c r="K171" i="22"/>
  <c r="O171" i="22"/>
  <c r="Q171" i="22" s="1"/>
  <c r="K167" i="22"/>
  <c r="O167" i="22"/>
  <c r="Q167" i="22" s="1"/>
  <c r="K163" i="22"/>
  <c r="O163" i="22"/>
  <c r="Q163" i="22" s="1"/>
  <c r="K159" i="22"/>
  <c r="O159" i="22"/>
  <c r="Q159" i="22" s="1"/>
  <c r="K155" i="22"/>
  <c r="O155" i="22"/>
  <c r="Q155" i="22" s="1"/>
  <c r="K151" i="22"/>
  <c r="O151" i="22"/>
  <c r="Q151" i="22" s="1"/>
  <c r="K147" i="22"/>
  <c r="O147" i="22"/>
  <c r="Q147" i="22" s="1"/>
  <c r="K143" i="22"/>
  <c r="O143" i="22"/>
  <c r="Q143" i="22" s="1"/>
  <c r="K139" i="22"/>
  <c r="O139" i="22"/>
  <c r="Q139" i="22" s="1"/>
  <c r="K135" i="22"/>
  <c r="O135" i="22"/>
  <c r="Q135" i="22" s="1"/>
  <c r="K131" i="22"/>
  <c r="O131" i="22"/>
  <c r="Q131" i="22" s="1"/>
  <c r="K127" i="22"/>
  <c r="O127" i="22"/>
  <c r="Q127" i="22" s="1"/>
  <c r="K123" i="22"/>
  <c r="O123" i="22"/>
  <c r="Q123" i="22" s="1"/>
  <c r="K119" i="22"/>
  <c r="O119" i="22"/>
  <c r="Q119" i="22" s="1"/>
  <c r="K114" i="22"/>
  <c r="O114" i="22"/>
  <c r="Q114" i="22" s="1"/>
  <c r="K110" i="22"/>
  <c r="O110" i="22"/>
  <c r="Q110" i="22" s="1"/>
  <c r="K106" i="22"/>
  <c r="O106" i="22"/>
  <c r="Q106" i="22" s="1"/>
  <c r="K102" i="22"/>
  <c r="O102" i="22"/>
  <c r="Q102" i="22" s="1"/>
  <c r="K98" i="22"/>
  <c r="O98" i="22"/>
  <c r="Q98" i="22" s="1"/>
  <c r="K94" i="22"/>
  <c r="O94" i="22"/>
  <c r="Q94" i="22" s="1"/>
  <c r="K90" i="22"/>
  <c r="O90" i="22"/>
  <c r="Q90" i="22" s="1"/>
  <c r="K86" i="22"/>
  <c r="O86" i="22"/>
  <c r="Q86" i="22" s="1"/>
  <c r="K82" i="22"/>
  <c r="O82" i="22"/>
  <c r="Q82" i="22" s="1"/>
  <c r="K78" i="22"/>
  <c r="O78" i="22"/>
  <c r="Q78" i="22" s="1"/>
  <c r="K74" i="22"/>
  <c r="O74" i="22"/>
  <c r="Q74" i="22" s="1"/>
  <c r="K70" i="22"/>
  <c r="O70" i="22"/>
  <c r="Q70" i="22" s="1"/>
  <c r="K66" i="22"/>
  <c r="O66" i="22"/>
  <c r="Q66" i="22" s="1"/>
  <c r="K62" i="22"/>
  <c r="O62" i="22"/>
  <c r="Q62" i="22" s="1"/>
  <c r="K58" i="22"/>
  <c r="O58" i="22"/>
  <c r="Q58" i="22" s="1"/>
  <c r="K54" i="22"/>
  <c r="O54" i="22"/>
  <c r="Q54" i="22" s="1"/>
  <c r="K50" i="22"/>
  <c r="O50" i="22"/>
  <c r="Q50" i="22" s="1"/>
  <c r="K46" i="22"/>
  <c r="O46" i="22"/>
  <c r="Q46" i="22" s="1"/>
  <c r="K42" i="22"/>
  <c r="O42" i="22"/>
  <c r="Q42" i="22" s="1"/>
  <c r="K38" i="22"/>
  <c r="O38" i="22"/>
  <c r="Q38" i="22" s="1"/>
  <c r="K34" i="22"/>
  <c r="O34" i="22"/>
  <c r="Q34" i="22" s="1"/>
  <c r="K30" i="22"/>
  <c r="O30" i="22"/>
  <c r="Q30" i="22" s="1"/>
  <c r="K26" i="22"/>
  <c r="O26" i="22"/>
  <c r="Q26" i="22" s="1"/>
  <c r="K22" i="22"/>
  <c r="O22" i="22"/>
  <c r="Q22" i="22" s="1"/>
  <c r="K18" i="22"/>
  <c r="O18" i="22"/>
  <c r="Q18" i="22" s="1"/>
  <c r="K14" i="22"/>
  <c r="O14" i="22"/>
  <c r="Q14" i="22" s="1"/>
  <c r="K10" i="22"/>
  <c r="O10" i="22"/>
  <c r="Q10" i="22" s="1"/>
  <c r="K6" i="22"/>
  <c r="O6" i="22"/>
  <c r="Q6" i="22" s="1"/>
  <c r="O5" i="22"/>
  <c r="Q5" i="22" s="1"/>
  <c r="J211" i="22"/>
  <c r="O210" i="22"/>
  <c r="K5" i="22"/>
  <c r="J137" i="9" l="1"/>
  <c r="F149" i="19" l="1"/>
  <c r="F150" i="19" s="1"/>
  <c r="L31" i="17" l="1"/>
  <c r="M31" i="17"/>
  <c r="N31" i="17"/>
  <c r="O31" i="17"/>
  <c r="L26" i="17"/>
  <c r="M26" i="17"/>
  <c r="N26" i="17"/>
  <c r="O26" i="17"/>
  <c r="L20" i="17"/>
  <c r="M20" i="17"/>
  <c r="N20" i="17"/>
  <c r="O20" i="17"/>
  <c r="K14" i="17"/>
  <c r="O14" i="17"/>
  <c r="N14" i="17"/>
  <c r="M14" i="17"/>
  <c r="L14" i="17"/>
  <c r="L9" i="17"/>
  <c r="M9" i="17"/>
  <c r="N9" i="17"/>
  <c r="O9" i="17"/>
  <c r="O62" i="16"/>
  <c r="N62" i="16"/>
  <c r="M62" i="16"/>
  <c r="L62" i="16"/>
  <c r="O58" i="16"/>
  <c r="N58" i="16"/>
  <c r="M58" i="16"/>
  <c r="L58" i="16"/>
  <c r="L54" i="16"/>
  <c r="M54" i="16"/>
  <c r="N54" i="16"/>
  <c r="O54" i="16"/>
  <c r="L50" i="16"/>
  <c r="M50" i="16"/>
  <c r="N50" i="16"/>
  <c r="O50" i="16"/>
  <c r="L44" i="16"/>
  <c r="M44" i="16"/>
  <c r="N44" i="16"/>
  <c r="O44" i="16"/>
  <c r="L37" i="16"/>
  <c r="M37" i="16"/>
  <c r="N37" i="16"/>
  <c r="O37" i="16"/>
  <c r="L32" i="16"/>
  <c r="M32" i="16"/>
  <c r="N32" i="16"/>
  <c r="O32" i="16"/>
  <c r="L28" i="16"/>
  <c r="M28" i="16"/>
  <c r="N28" i="16"/>
  <c r="O28" i="16"/>
  <c r="O23" i="16"/>
  <c r="N23" i="16"/>
  <c r="M23" i="16"/>
  <c r="L23" i="16"/>
  <c r="L14" i="16"/>
  <c r="M14" i="16"/>
  <c r="N14" i="16"/>
  <c r="O14" i="16"/>
  <c r="K14" i="16"/>
  <c r="L10" i="16"/>
  <c r="M10" i="16"/>
  <c r="N10" i="16"/>
  <c r="O10" i="16"/>
  <c r="L144" i="13"/>
  <c r="M144" i="13"/>
  <c r="N144" i="13"/>
  <c r="O144" i="13"/>
  <c r="L138" i="13"/>
  <c r="M138" i="13"/>
  <c r="N138" i="13"/>
  <c r="O138" i="13"/>
  <c r="K138" i="13"/>
  <c r="M132" i="13"/>
  <c r="L132" i="13"/>
  <c r="N132" i="13"/>
  <c r="O132" i="13"/>
  <c r="L127" i="13"/>
  <c r="M127" i="13"/>
  <c r="N127" i="13"/>
  <c r="O127" i="13"/>
  <c r="K127" i="13"/>
  <c r="N118" i="13"/>
  <c r="M118" i="13"/>
  <c r="L118" i="13"/>
  <c r="O118" i="13"/>
  <c r="O108" i="13"/>
  <c r="N108" i="13"/>
  <c r="M108" i="13"/>
  <c r="L108" i="13"/>
  <c r="K108" i="13"/>
  <c r="N101" i="13"/>
  <c r="M101" i="13"/>
  <c r="L101" i="13"/>
  <c r="O101" i="13"/>
  <c r="L94" i="13"/>
  <c r="M94" i="13"/>
  <c r="N94" i="13"/>
  <c r="O94" i="13"/>
  <c r="K94" i="13"/>
  <c r="N84" i="13"/>
  <c r="M84" i="13"/>
  <c r="L84" i="13"/>
  <c r="O84" i="13"/>
  <c r="N77" i="13"/>
  <c r="M77" i="13"/>
  <c r="L77" i="13"/>
  <c r="O77" i="13"/>
  <c r="P147" i="7" l="1"/>
  <c r="Q147" i="7" s="1"/>
  <c r="L65" i="13" l="1"/>
  <c r="M65" i="13"/>
  <c r="N65" i="13"/>
  <c r="O65" i="13"/>
  <c r="K65" i="13"/>
  <c r="L60" i="13" l="1"/>
  <c r="M60" i="13"/>
  <c r="N60" i="13"/>
  <c r="O60" i="13"/>
  <c r="K60" i="13"/>
  <c r="L46" i="13"/>
  <c r="M46" i="13"/>
  <c r="N46" i="13"/>
  <c r="O46" i="13"/>
  <c r="K46" i="13"/>
  <c r="L33" i="13"/>
  <c r="M33" i="13"/>
  <c r="N33" i="13"/>
  <c r="O33" i="13"/>
  <c r="K33" i="13"/>
  <c r="L14" i="13"/>
  <c r="M14" i="13"/>
  <c r="N14" i="13"/>
  <c r="O14" i="13"/>
  <c r="K14" i="13"/>
  <c r="L74" i="12"/>
  <c r="M74" i="12"/>
  <c r="N74" i="12"/>
  <c r="O74" i="12"/>
  <c r="L70" i="12"/>
  <c r="M70" i="12"/>
  <c r="N70" i="12"/>
  <c r="O70" i="12"/>
  <c r="L66" i="12"/>
  <c r="M66" i="12"/>
  <c r="N66" i="12"/>
  <c r="O66" i="12"/>
  <c r="L61" i="12"/>
  <c r="M61" i="12"/>
  <c r="N61" i="12"/>
  <c r="O61" i="12"/>
  <c r="L56" i="12"/>
  <c r="M56" i="12"/>
  <c r="N56" i="12"/>
  <c r="O56" i="12"/>
  <c r="L44" i="12"/>
  <c r="M44" i="12"/>
  <c r="N44" i="12"/>
  <c r="O44" i="12"/>
  <c r="K44" i="12"/>
  <c r="L12" i="12"/>
  <c r="M12" i="12"/>
  <c r="N12" i="12"/>
  <c r="O12" i="12"/>
  <c r="L35" i="12"/>
  <c r="M35" i="12"/>
  <c r="N35" i="12"/>
  <c r="O35" i="12"/>
  <c r="L25" i="12"/>
  <c r="M25" i="12"/>
  <c r="N25" i="12"/>
  <c r="O25" i="12"/>
  <c r="K25" i="12"/>
  <c r="L78" i="10"/>
  <c r="M78" i="10"/>
  <c r="N78" i="10"/>
  <c r="O78" i="10"/>
  <c r="L71" i="10"/>
  <c r="M71" i="10"/>
  <c r="N71" i="10"/>
  <c r="O71" i="10"/>
  <c r="L63" i="10"/>
  <c r="M63" i="10"/>
  <c r="N63" i="10"/>
  <c r="O63" i="10"/>
  <c r="L52" i="10"/>
  <c r="M52" i="10"/>
  <c r="N52" i="10"/>
  <c r="O52" i="10"/>
  <c r="L42" i="10"/>
  <c r="M42" i="10"/>
  <c r="N42" i="10"/>
  <c r="O42" i="10"/>
  <c r="L34" i="10"/>
  <c r="M34" i="10"/>
  <c r="N34" i="10"/>
  <c r="O34" i="10"/>
  <c r="L25" i="10"/>
  <c r="M25" i="10"/>
  <c r="N25" i="10"/>
  <c r="O25" i="10"/>
  <c r="L13" i="10"/>
  <c r="M13" i="10"/>
  <c r="N13" i="10"/>
  <c r="O13" i="10"/>
  <c r="K13" i="10"/>
  <c r="L136" i="9"/>
  <c r="M136" i="9"/>
  <c r="N136" i="9"/>
  <c r="O136" i="9"/>
  <c r="L130" i="9"/>
  <c r="M130" i="9"/>
  <c r="N130" i="9"/>
  <c r="O130" i="9"/>
  <c r="L123" i="9"/>
  <c r="M123" i="9"/>
  <c r="N123" i="9"/>
  <c r="O123" i="9"/>
  <c r="L113" i="9"/>
  <c r="M113" i="9"/>
  <c r="N113" i="9"/>
  <c r="O113" i="9"/>
  <c r="L100" i="9"/>
  <c r="M100" i="9"/>
  <c r="N100" i="9"/>
  <c r="O100" i="9"/>
  <c r="L94" i="9"/>
  <c r="M94" i="9"/>
  <c r="N94" i="9"/>
  <c r="O94" i="9"/>
  <c r="L89" i="9"/>
  <c r="M89" i="9"/>
  <c r="N89" i="9"/>
  <c r="O89" i="9"/>
  <c r="L84" i="9"/>
  <c r="M84" i="9"/>
  <c r="N84" i="9"/>
  <c r="O84" i="9"/>
  <c r="L72" i="9"/>
  <c r="M72" i="9"/>
  <c r="N72" i="9"/>
  <c r="O72" i="9"/>
  <c r="L64" i="9"/>
  <c r="M64" i="9"/>
  <c r="N64" i="9"/>
  <c r="O64" i="9"/>
  <c r="L58" i="9"/>
  <c r="M58" i="9"/>
  <c r="N58" i="9"/>
  <c r="O58" i="9"/>
  <c r="L50" i="9"/>
  <c r="M50" i="9"/>
  <c r="N50" i="9"/>
  <c r="O50" i="9"/>
  <c r="K50" i="9"/>
  <c r="L37" i="9"/>
  <c r="M37" i="9"/>
  <c r="N37" i="9"/>
  <c r="O37" i="9"/>
  <c r="K37" i="9"/>
  <c r="L29" i="9"/>
  <c r="M29" i="9"/>
  <c r="N29" i="9"/>
  <c r="O29" i="9"/>
  <c r="L99" i="8"/>
  <c r="M99" i="8"/>
  <c r="N99" i="8"/>
  <c r="O99" i="8"/>
  <c r="L94" i="8"/>
  <c r="M94" i="8"/>
  <c r="N94" i="8"/>
  <c r="O94" i="8"/>
  <c r="L91" i="8"/>
  <c r="M91" i="8"/>
  <c r="N91" i="8"/>
  <c r="O91" i="8"/>
  <c r="L79" i="8"/>
  <c r="M79" i="8"/>
  <c r="N79" i="8"/>
  <c r="O79" i="8"/>
  <c r="L71" i="8"/>
  <c r="M71" i="8"/>
  <c r="N71" i="8"/>
  <c r="O71" i="8"/>
  <c r="L66" i="8"/>
  <c r="M66" i="8"/>
  <c r="N66" i="8"/>
  <c r="O66" i="8"/>
  <c r="L61" i="8"/>
  <c r="M61" i="8"/>
  <c r="N61" i="8"/>
  <c r="O61" i="8"/>
  <c r="L57" i="8"/>
  <c r="M57" i="8"/>
  <c r="N57" i="8"/>
  <c r="O57" i="8"/>
  <c r="L52" i="8"/>
  <c r="M52" i="8"/>
  <c r="N52" i="8"/>
  <c r="O52" i="8"/>
  <c r="K52" i="8"/>
  <c r="L48" i="8" l="1"/>
  <c r="M48" i="8"/>
  <c r="N48" i="8"/>
  <c r="O48" i="8"/>
  <c r="K48" i="8"/>
  <c r="L36" i="8"/>
  <c r="M36" i="8"/>
  <c r="N36" i="8"/>
  <c r="O36" i="8"/>
  <c r="L33" i="8"/>
  <c r="M33" i="8"/>
  <c r="N33" i="8"/>
  <c r="O33" i="8"/>
  <c r="L29" i="8"/>
  <c r="M29" i="8"/>
  <c r="N29" i="8"/>
  <c r="O29" i="8"/>
  <c r="L24" i="8"/>
  <c r="M24" i="8"/>
  <c r="N24" i="8"/>
  <c r="O24" i="8"/>
  <c r="L18" i="8"/>
  <c r="M18" i="8"/>
  <c r="N18" i="8"/>
  <c r="O18" i="8"/>
  <c r="L160" i="7"/>
  <c r="M160" i="7"/>
  <c r="N160" i="7"/>
  <c r="O160" i="7"/>
  <c r="L155" i="7"/>
  <c r="M155" i="7"/>
  <c r="N155" i="7"/>
  <c r="O155" i="7"/>
  <c r="L147" i="7"/>
  <c r="M147" i="7"/>
  <c r="N147" i="7"/>
  <c r="O147" i="7"/>
  <c r="L138" i="7"/>
  <c r="M138" i="7"/>
  <c r="N138" i="7"/>
  <c r="O138" i="7"/>
  <c r="L132" i="7"/>
  <c r="M132" i="7"/>
  <c r="N132" i="7"/>
  <c r="O132" i="7"/>
  <c r="L127" i="7"/>
  <c r="M127" i="7"/>
  <c r="N127" i="7"/>
  <c r="O127" i="7"/>
  <c r="L123" i="7"/>
  <c r="M123" i="7"/>
  <c r="N123" i="7"/>
  <c r="O123" i="7"/>
  <c r="L118" i="7"/>
  <c r="M118" i="7"/>
  <c r="N118" i="7"/>
  <c r="O118" i="7"/>
  <c r="L111" i="7"/>
  <c r="M111" i="7"/>
  <c r="N111" i="7"/>
  <c r="O111" i="7"/>
  <c r="K111" i="7"/>
  <c r="L103" i="7"/>
  <c r="M103" i="7"/>
  <c r="N103" i="7"/>
  <c r="O103" i="7"/>
  <c r="L94" i="7"/>
  <c r="M94" i="7"/>
  <c r="N94" i="7"/>
  <c r="O94" i="7"/>
  <c r="L86" i="7"/>
  <c r="M86" i="7"/>
  <c r="N86" i="7"/>
  <c r="O86" i="7"/>
  <c r="P132" i="7" l="1"/>
  <c r="Q132" i="7" s="1"/>
  <c r="L79" i="7"/>
  <c r="M79" i="7"/>
  <c r="N79" i="7"/>
  <c r="O79" i="7"/>
  <c r="L69" i="7"/>
  <c r="M69" i="7"/>
  <c r="N69" i="7"/>
  <c r="O69" i="7"/>
  <c r="K69" i="7"/>
  <c r="L51" i="7"/>
  <c r="M51" i="7"/>
  <c r="N51" i="7"/>
  <c r="O51" i="7"/>
  <c r="L40" i="7"/>
  <c r="M40" i="7"/>
  <c r="N40" i="7"/>
  <c r="O40" i="7"/>
  <c r="K40" i="7"/>
  <c r="L18" i="7"/>
  <c r="M18" i="7"/>
  <c r="N18" i="7"/>
  <c r="O18" i="7"/>
  <c r="K18" i="7"/>
  <c r="P51" i="7" l="1"/>
  <c r="Q51" i="7" s="1"/>
  <c r="L117" i="6"/>
  <c r="M117" i="6"/>
  <c r="N117" i="6"/>
  <c r="O117" i="6"/>
  <c r="L108" i="6"/>
  <c r="M108" i="6"/>
  <c r="N108" i="6"/>
  <c r="O108" i="6"/>
  <c r="L103" i="6"/>
  <c r="M103" i="6"/>
  <c r="N103" i="6"/>
  <c r="O103" i="6"/>
  <c r="L95" i="6"/>
  <c r="M95" i="6"/>
  <c r="N95" i="6"/>
  <c r="O95" i="6"/>
  <c r="L91" i="6"/>
  <c r="M91" i="6"/>
  <c r="N91" i="6"/>
  <c r="O91" i="6"/>
  <c r="L86" i="6"/>
  <c r="M86" i="6"/>
  <c r="N86" i="6"/>
  <c r="O86" i="6"/>
  <c r="L77" i="6"/>
  <c r="M77" i="6"/>
  <c r="N77" i="6"/>
  <c r="O77" i="6"/>
  <c r="L71" i="6"/>
  <c r="M71" i="6"/>
  <c r="N71" i="6"/>
  <c r="O71" i="6"/>
  <c r="L63" i="6"/>
  <c r="M63" i="6"/>
  <c r="N63" i="6"/>
  <c r="O63" i="6"/>
  <c r="L56" i="6"/>
  <c r="M56" i="6"/>
  <c r="N56" i="6"/>
  <c r="O56" i="6"/>
  <c r="L49" i="6"/>
  <c r="M49" i="6"/>
  <c r="N49" i="6"/>
  <c r="O49" i="6"/>
  <c r="L40" i="6"/>
  <c r="M40" i="6"/>
  <c r="N40" i="6"/>
  <c r="O40" i="6"/>
  <c r="L28" i="6"/>
  <c r="M28" i="6"/>
  <c r="N28" i="6"/>
  <c r="O28" i="6"/>
  <c r="K28" i="6"/>
  <c r="L23" i="6"/>
  <c r="M23" i="6"/>
  <c r="N23" i="6"/>
  <c r="O23" i="6"/>
  <c r="L13" i="6"/>
  <c r="M13" i="6"/>
  <c r="N13" i="6"/>
  <c r="O13" i="6"/>
  <c r="L9" i="6"/>
  <c r="M9" i="6"/>
  <c r="N9" i="6"/>
  <c r="O9" i="6"/>
  <c r="L160" i="2" l="1"/>
  <c r="M160" i="2"/>
  <c r="N160" i="2"/>
  <c r="O160" i="2"/>
  <c r="K160" i="2"/>
  <c r="L156" i="2"/>
  <c r="M156" i="2"/>
  <c r="N156" i="2"/>
  <c r="O156" i="2"/>
  <c r="K156" i="2"/>
  <c r="L145" i="2"/>
  <c r="M145" i="2"/>
  <c r="N145" i="2"/>
  <c r="O145" i="2"/>
  <c r="K145" i="2"/>
  <c r="L138" i="2"/>
  <c r="M138" i="2"/>
  <c r="N138" i="2"/>
  <c r="O138" i="2"/>
  <c r="K138" i="2"/>
  <c r="L132" i="2"/>
  <c r="M132" i="2"/>
  <c r="N132" i="2"/>
  <c r="O132" i="2"/>
  <c r="K132" i="2"/>
  <c r="L125" i="2"/>
  <c r="M125" i="2"/>
  <c r="N125" i="2"/>
  <c r="O125" i="2"/>
  <c r="K125" i="2"/>
  <c r="L118" i="2"/>
  <c r="M118" i="2"/>
  <c r="N118" i="2"/>
  <c r="O118" i="2"/>
  <c r="K118" i="2"/>
  <c r="L109" i="2"/>
  <c r="M109" i="2"/>
  <c r="N109" i="2"/>
  <c r="O109" i="2"/>
  <c r="K109" i="2"/>
  <c r="P109" i="2" l="1"/>
  <c r="Q109" i="2" s="1"/>
  <c r="P118" i="2"/>
  <c r="Q118" i="2" s="1"/>
  <c r="L103" i="2"/>
  <c r="M103" i="2"/>
  <c r="N103" i="2"/>
  <c r="O103" i="2"/>
  <c r="L96" i="2"/>
  <c r="M96" i="2"/>
  <c r="N96" i="2"/>
  <c r="O96" i="2"/>
  <c r="K96" i="2"/>
  <c r="L91" i="2"/>
  <c r="M91" i="2"/>
  <c r="N91" i="2"/>
  <c r="O91" i="2"/>
  <c r="K91" i="2"/>
  <c r="L72" i="2"/>
  <c r="M72" i="2"/>
  <c r="N72" i="2"/>
  <c r="O72" i="2"/>
  <c r="K72" i="2"/>
  <c r="L61" i="2"/>
  <c r="M61" i="2"/>
  <c r="N61" i="2"/>
  <c r="O61" i="2"/>
  <c r="K61" i="2"/>
  <c r="L57" i="2"/>
  <c r="M57" i="2"/>
  <c r="N57" i="2"/>
  <c r="O57" i="2"/>
  <c r="L34" i="2"/>
  <c r="M34" i="2"/>
  <c r="N34" i="2"/>
  <c r="O34" i="2"/>
  <c r="K34" i="2"/>
  <c r="L29" i="2"/>
  <c r="M29" i="2"/>
  <c r="N29" i="2"/>
  <c r="O29" i="2"/>
  <c r="K29" i="2"/>
  <c r="L19" i="2"/>
  <c r="M19" i="2"/>
  <c r="N19" i="2"/>
  <c r="O19" i="2"/>
  <c r="K19" i="2"/>
  <c r="L16" i="2"/>
  <c r="M16" i="2"/>
  <c r="N16" i="2"/>
  <c r="O16" i="2"/>
  <c r="K16" i="2"/>
  <c r="L13" i="2"/>
  <c r="M13" i="2"/>
  <c r="N13" i="2"/>
  <c r="O13" i="2"/>
  <c r="K13" i="2"/>
  <c r="C20" i="20"/>
  <c r="F143" i="19"/>
  <c r="F144" i="19" s="1"/>
  <c r="F137" i="19"/>
  <c r="F138" i="19" s="1"/>
  <c r="F133" i="19"/>
  <c r="F129" i="19"/>
  <c r="F134" i="19" s="1"/>
  <c r="F124" i="19"/>
  <c r="F125" i="19" s="1"/>
  <c r="F120" i="19"/>
  <c r="F116" i="19"/>
  <c r="F112" i="19"/>
  <c r="F108" i="19"/>
  <c r="F104" i="19"/>
  <c r="F100" i="19"/>
  <c r="F97" i="19"/>
  <c r="F101" i="19" s="1"/>
  <c r="F88" i="19"/>
  <c r="F89" i="19" s="1"/>
  <c r="F84" i="19"/>
  <c r="F82" i="19"/>
  <c r="F78" i="19"/>
  <c r="F75" i="19"/>
  <c r="F71" i="19"/>
  <c r="F69" i="19"/>
  <c r="F64" i="19"/>
  <c r="F61" i="19"/>
  <c r="F57" i="19"/>
  <c r="F51" i="19"/>
  <c r="F49" i="19"/>
  <c r="F45" i="19"/>
  <c r="F26" i="19"/>
  <c r="F22" i="19"/>
  <c r="F12" i="19"/>
  <c r="F9" i="19"/>
  <c r="C32" i="17"/>
  <c r="C63" i="16"/>
  <c r="C114" i="15"/>
  <c r="C58" i="14"/>
  <c r="C145" i="13"/>
  <c r="C75" i="12"/>
  <c r="C68" i="11"/>
  <c r="C79" i="10"/>
  <c r="C137" i="9"/>
  <c r="C100" i="8"/>
  <c r="J161" i="7"/>
  <c r="C161" i="7"/>
  <c r="F161" i="7"/>
  <c r="C118" i="6"/>
  <c r="C144" i="5"/>
  <c r="C81" i="4"/>
  <c r="C93" i="3"/>
  <c r="C161" i="2"/>
  <c r="G161" i="2"/>
  <c r="H161" i="2"/>
  <c r="I161" i="2"/>
  <c r="J161" i="2"/>
  <c r="F161" i="2"/>
  <c r="G93" i="3"/>
  <c r="H93" i="3"/>
  <c r="I93" i="3"/>
  <c r="J93" i="3"/>
  <c r="F93" i="3"/>
  <c r="G81" i="4"/>
  <c r="H81" i="4"/>
  <c r="I81" i="4"/>
  <c r="J81" i="4"/>
  <c r="F81" i="4"/>
  <c r="G144" i="5"/>
  <c r="H144" i="5"/>
  <c r="I144" i="5"/>
  <c r="J144" i="5"/>
  <c r="F144" i="5"/>
  <c r="G118" i="6"/>
  <c r="H118" i="6"/>
  <c r="I118" i="6"/>
  <c r="J118" i="6"/>
  <c r="F118" i="6"/>
  <c r="G161" i="7"/>
  <c r="H161" i="7"/>
  <c r="I161" i="7"/>
  <c r="G100" i="8"/>
  <c r="H100" i="8"/>
  <c r="I100" i="8"/>
  <c r="J100" i="8"/>
  <c r="F100" i="8"/>
  <c r="G137" i="9"/>
  <c r="H137" i="9"/>
  <c r="I137" i="9"/>
  <c r="C138" i="9" s="1"/>
  <c r="F137" i="9"/>
  <c r="G79" i="10"/>
  <c r="H79" i="10"/>
  <c r="I79" i="10"/>
  <c r="J79" i="10"/>
  <c r="F79" i="10"/>
  <c r="G68" i="11"/>
  <c r="H68" i="11"/>
  <c r="I68" i="11"/>
  <c r="J68" i="11"/>
  <c r="F68" i="11"/>
  <c r="G75" i="12"/>
  <c r="H75" i="12"/>
  <c r="I75" i="12"/>
  <c r="J75" i="12"/>
  <c r="F75" i="12"/>
  <c r="G145" i="13"/>
  <c r="H145" i="13"/>
  <c r="I145" i="13"/>
  <c r="J145" i="13"/>
  <c r="F145" i="13"/>
  <c r="G58" i="14"/>
  <c r="H58" i="14"/>
  <c r="I58" i="14"/>
  <c r="J58" i="14"/>
  <c r="F58" i="14"/>
  <c r="J114" i="15"/>
  <c r="G114" i="15"/>
  <c r="H114" i="15"/>
  <c r="I114" i="15"/>
  <c r="F114" i="15"/>
  <c r="G63" i="16"/>
  <c r="H63" i="16"/>
  <c r="I63" i="16"/>
  <c r="J63" i="16"/>
  <c r="F63" i="16"/>
  <c r="G32" i="17"/>
  <c r="H32" i="17"/>
  <c r="I32" i="17"/>
  <c r="J32" i="17"/>
  <c r="F32" i="17"/>
  <c r="C162" i="2" l="1"/>
  <c r="D4" i="20" s="1"/>
  <c r="C141" i="9"/>
  <c r="D12" i="20"/>
  <c r="C64" i="16"/>
  <c r="D18" i="20" s="1"/>
  <c r="C59" i="14"/>
  <c r="D16" i="20" s="1"/>
  <c r="C76" i="12"/>
  <c r="D15" i="20" s="1"/>
  <c r="C69" i="11"/>
  <c r="D14" i="20" s="1"/>
  <c r="C101" i="8"/>
  <c r="D11" i="20" s="1"/>
  <c r="C119" i="6"/>
  <c r="D9" i="20" s="1"/>
  <c r="C145" i="5"/>
  <c r="D8" i="20" s="1"/>
  <c r="C82" i="4"/>
  <c r="D7" i="20" s="1"/>
  <c r="C94" i="3"/>
  <c r="D6" i="20" s="1"/>
  <c r="C33" i="17"/>
  <c r="D19" i="20" s="1"/>
  <c r="C115" i="15"/>
  <c r="D17" i="20" s="1"/>
  <c r="C80" i="10"/>
  <c r="D13" i="20" s="1"/>
  <c r="C162" i="7"/>
  <c r="D10" i="20" s="1"/>
  <c r="F85" i="19"/>
  <c r="F121" i="19"/>
  <c r="F109" i="19"/>
  <c r="F79" i="19"/>
  <c r="F65" i="19"/>
  <c r="F27" i="19"/>
  <c r="C146" i="13"/>
  <c r="D5" i="20" s="1"/>
  <c r="P96" i="2"/>
  <c r="Q96" i="2" s="1"/>
  <c r="P72" i="2"/>
  <c r="Q72" i="2" s="1"/>
  <c r="D20" i="20" l="1"/>
</calcChain>
</file>

<file path=xl/sharedStrings.xml><?xml version="1.0" encoding="utf-8"?>
<sst xmlns="http://schemas.openxmlformats.org/spreadsheetml/2006/main" count="5449" uniqueCount="930">
  <si>
    <t>00</t>
  </si>
  <si>
    <t>ประตูชัย</t>
  </si>
  <si>
    <t>02</t>
  </si>
  <si>
    <t>03</t>
  </si>
  <si>
    <t>04</t>
  </si>
  <si>
    <t>05</t>
  </si>
  <si>
    <t>06</t>
  </si>
  <si>
    <t>07</t>
  </si>
  <si>
    <t>08</t>
  </si>
  <si>
    <t>09</t>
  </si>
  <si>
    <t>กะมัง</t>
  </si>
  <si>
    <t>10</t>
  </si>
  <si>
    <t>11</t>
  </si>
  <si>
    <t>12</t>
  </si>
  <si>
    <t>หอรัตนไชย</t>
  </si>
  <si>
    <t>77</t>
  </si>
  <si>
    <t>หัวรอ</t>
  </si>
  <si>
    <t>01</t>
  </si>
  <si>
    <t>ท่าวาสุกรี</t>
  </si>
  <si>
    <t>ไผ่ลิง</t>
  </si>
  <si>
    <t>ปากกราน</t>
  </si>
  <si>
    <t>13</t>
  </si>
  <si>
    <t>14</t>
  </si>
  <si>
    <t>ภูเขาทอง</t>
  </si>
  <si>
    <t>สำเภาล่ม</t>
  </si>
  <si>
    <t>สวนพริก</t>
  </si>
  <si>
    <t>คลองตะเคียน</t>
  </si>
  <si>
    <t>วัดตูม</t>
  </si>
  <si>
    <t>หันตรา</t>
  </si>
  <si>
    <t>ลุมพลี</t>
  </si>
  <si>
    <t>บ้านใหม่</t>
  </si>
  <si>
    <t>บ้านเกาะ</t>
  </si>
  <si>
    <t>คลองสวนพลู</t>
  </si>
  <si>
    <t>คลองสระบัว</t>
  </si>
  <si>
    <t>เกาะเรียน</t>
  </si>
  <si>
    <t>บ้านป้อม</t>
  </si>
  <si>
    <t>บ้านรุน</t>
  </si>
  <si>
    <t>ท่าเรือ</t>
  </si>
  <si>
    <t>จำปา</t>
  </si>
  <si>
    <t>ท่าหลวง</t>
  </si>
  <si>
    <t>บ้านร่อม</t>
  </si>
  <si>
    <t>ศาลาลอย</t>
  </si>
  <si>
    <t>15</t>
  </si>
  <si>
    <t>วังแดง</t>
  </si>
  <si>
    <t>โพธิ์เอน</t>
  </si>
  <si>
    <t>ปากท่า</t>
  </si>
  <si>
    <t>หนองขนาก</t>
  </si>
  <si>
    <t>ท่าเจ้าสนุก</t>
  </si>
  <si>
    <t>นครหลวง</t>
  </si>
  <si>
    <t>ท่าช้าง</t>
  </si>
  <si>
    <t>บ่อโพง</t>
  </si>
  <si>
    <t>บ้านชุ้ง</t>
  </si>
  <si>
    <t>ปากจั่น</t>
  </si>
  <si>
    <t>บางระกำ</t>
  </si>
  <si>
    <t>บางพระครู</t>
  </si>
  <si>
    <t>แม่ลา</t>
  </si>
  <si>
    <t>หนองปลิง</t>
  </si>
  <si>
    <t>คลองสะแก</t>
  </si>
  <si>
    <t>สามไถ</t>
  </si>
  <si>
    <t>พระนอน</t>
  </si>
  <si>
    <t>บางไทร</t>
  </si>
  <si>
    <t>บางพลี</t>
  </si>
  <si>
    <t>สนามชัย</t>
  </si>
  <si>
    <t>บ้านแป้ง</t>
  </si>
  <si>
    <t>หน้าไม้</t>
  </si>
  <si>
    <t>บางยี่โท</t>
  </si>
  <si>
    <t>แคออก</t>
  </si>
  <si>
    <t>แคตก</t>
  </si>
  <si>
    <t>ช่างเหล็ก</t>
  </si>
  <si>
    <t>กระแชง</t>
  </si>
  <si>
    <t>บ้านกลึง</t>
  </si>
  <si>
    <t>ช้างน้อย</t>
  </si>
  <si>
    <t>ห่อหมก</t>
  </si>
  <si>
    <t>ไผ่พระ</t>
  </si>
  <si>
    <t>กกแก้วบูรพา</t>
  </si>
  <si>
    <t>ไม้ตรา</t>
  </si>
  <si>
    <t>บ้านม้า</t>
  </si>
  <si>
    <t>ราชคราม</t>
  </si>
  <si>
    <t>ช้างใหญ่</t>
  </si>
  <si>
    <t>โพแตง</t>
  </si>
  <si>
    <t>เชียงรากน้อย</t>
  </si>
  <si>
    <t>โคกช้าง</t>
  </si>
  <si>
    <t>บางบาล</t>
  </si>
  <si>
    <t>วัดยม</t>
  </si>
  <si>
    <t>ไทรน้อย</t>
  </si>
  <si>
    <t>สะพานไทย</t>
  </si>
  <si>
    <t>มหาพราหมณ์</t>
  </si>
  <si>
    <t>กบเจา</t>
  </si>
  <si>
    <t>บ้านคลัง</t>
  </si>
  <si>
    <t>พระขาว</t>
  </si>
  <si>
    <t>น้ำเต้า</t>
  </si>
  <si>
    <t>ทางช้าง</t>
  </si>
  <si>
    <t>วัดตะกู</t>
  </si>
  <si>
    <t>บางหลวง</t>
  </si>
  <si>
    <t>บางหลวงโดด</t>
  </si>
  <si>
    <t>บางหัก</t>
  </si>
  <si>
    <t>บางชะนี</t>
  </si>
  <si>
    <t>บ้านกุ่ม</t>
  </si>
  <si>
    <t>บ้านเลน</t>
  </si>
  <si>
    <t>บ้านโพ</t>
  </si>
  <si>
    <t>บ้านกรด</t>
  </si>
  <si>
    <t>บางกระสั้น</t>
  </si>
  <si>
    <t>16</t>
  </si>
  <si>
    <t>17</t>
  </si>
  <si>
    <t>คลองจิก</t>
  </si>
  <si>
    <t>บ้านหว้า</t>
  </si>
  <si>
    <t>บางประแดง</t>
  </si>
  <si>
    <t>สามเรือน</t>
  </si>
  <si>
    <t>เกาะเกิด</t>
  </si>
  <si>
    <t>บ้านพลับ</t>
  </si>
  <si>
    <t>คุ้งลาน</t>
  </si>
  <si>
    <t>ตลิ่งชัน</t>
  </si>
  <si>
    <t>บ้านสร้าง</t>
  </si>
  <si>
    <t>ตลาดเกรียบ</t>
  </si>
  <si>
    <t>ขนอนหลวง</t>
  </si>
  <si>
    <t>บางปะหัน</t>
  </si>
  <si>
    <t>ขยาย</t>
  </si>
  <si>
    <t>บางเดื่อ</t>
  </si>
  <si>
    <t>เสาธง</t>
  </si>
  <si>
    <t>ทางกลาง</t>
  </si>
  <si>
    <t>บางเพลิง</t>
  </si>
  <si>
    <t>หันสัง</t>
  </si>
  <si>
    <t>บางนางร้า</t>
  </si>
  <si>
    <t>ตานิม</t>
  </si>
  <si>
    <t>ทับน้ำ</t>
  </si>
  <si>
    <t>ขวัญเมือง</t>
  </si>
  <si>
    <t>บ้านลี่</t>
  </si>
  <si>
    <t>โพธิ์สามต้น</t>
  </si>
  <si>
    <t>พุทเลา</t>
  </si>
  <si>
    <t>ตาลเอน</t>
  </si>
  <si>
    <t>บ้านขล้อ</t>
  </si>
  <si>
    <t>ผักไห่</t>
  </si>
  <si>
    <t>อมฤต</t>
  </si>
  <si>
    <t>บ้านแค</t>
  </si>
  <si>
    <t>ลาดน้ำเค็ม</t>
  </si>
  <si>
    <t>ตาลาน</t>
  </si>
  <si>
    <t>ท่าดินแดง</t>
  </si>
  <si>
    <t>ดอนลาน</t>
  </si>
  <si>
    <t>นาคู</t>
  </si>
  <si>
    <t>กุฎี</t>
  </si>
  <si>
    <t>ลำตะเคียน</t>
  </si>
  <si>
    <t>จักราช</t>
  </si>
  <si>
    <t>หนองน้ำใหญ่</t>
  </si>
  <si>
    <t>ลาดชิด</t>
  </si>
  <si>
    <t>หน้าโคก</t>
  </si>
  <si>
    <t>บ้านใหญ่</t>
  </si>
  <si>
    <t>ภาชี</t>
  </si>
  <si>
    <t>โคกม่วง</t>
  </si>
  <si>
    <t>ระโสม</t>
  </si>
  <si>
    <t>หนองน้ำใส</t>
  </si>
  <si>
    <t>ดอนหญ้านาง</t>
  </si>
  <si>
    <t>ไผ่ล้อม</t>
  </si>
  <si>
    <t>กระจิว</t>
  </si>
  <si>
    <t>พระแก้ว</t>
  </si>
  <si>
    <t>ลาดบัวหลวง</t>
  </si>
  <si>
    <t>หลักชัย</t>
  </si>
  <si>
    <t>สามเมือง</t>
  </si>
  <si>
    <t>พระยาบันลือ</t>
  </si>
  <si>
    <t>สิงหนาท</t>
  </si>
  <si>
    <t>คู้สลอด</t>
  </si>
  <si>
    <t>คลองพระยาบันลือ</t>
  </si>
  <si>
    <t>ลำตาเสา</t>
  </si>
  <si>
    <t>บ่อตาโล่</t>
  </si>
  <si>
    <t>วังน้อย</t>
  </si>
  <si>
    <t>ลำไทร</t>
  </si>
  <si>
    <t>สนับทึบ</t>
  </si>
  <si>
    <t>พยอม</t>
  </si>
  <si>
    <t>หันตะเภา</t>
  </si>
  <si>
    <t>วังจุฬา</t>
  </si>
  <si>
    <t>ข้าวงาม</t>
  </si>
  <si>
    <t>ชะแมบ</t>
  </si>
  <si>
    <t>เสนา</t>
  </si>
  <si>
    <t>บ้านแพน</t>
  </si>
  <si>
    <t>เจ้าเจ็ด</t>
  </si>
  <si>
    <t>สามกอ</t>
  </si>
  <si>
    <t>บางนมโค</t>
  </si>
  <si>
    <t>หัวเวียง</t>
  </si>
  <si>
    <t>มารวิชัย</t>
  </si>
  <si>
    <t>บ้านโพธิ์</t>
  </si>
  <si>
    <t>รางจรเข้</t>
  </si>
  <si>
    <t>บ้านกระทุ่ม</t>
  </si>
  <si>
    <t>บ้านแถว</t>
  </si>
  <si>
    <t>ชายนา</t>
  </si>
  <si>
    <t>สามตุ่ม</t>
  </si>
  <si>
    <t>ลาดงา</t>
  </si>
  <si>
    <t>ดอนทอง</t>
  </si>
  <si>
    <t>บ้านหลวง</t>
  </si>
  <si>
    <t>เจ้าเสด็จ</t>
  </si>
  <si>
    <t>บางซ้าย</t>
  </si>
  <si>
    <t>แก้วฟ้า</t>
  </si>
  <si>
    <t>เต่าเล่า</t>
  </si>
  <si>
    <t>ปลายกลัด</t>
  </si>
  <si>
    <t>เทพมงคล</t>
  </si>
  <si>
    <t>วังพัฒนา</t>
  </si>
  <si>
    <t>คานหาม</t>
  </si>
  <si>
    <t>บ้านช้าง</t>
  </si>
  <si>
    <t>สามบัณฑิต</t>
  </si>
  <si>
    <t>บ้านหีบ</t>
  </si>
  <si>
    <t>หนองไม้ซุง</t>
  </si>
  <si>
    <t>อุทัย</t>
  </si>
  <si>
    <t>หนองน้ำส้ม</t>
  </si>
  <si>
    <t>โพสาวหาญ</t>
  </si>
  <si>
    <t>ธนู</t>
  </si>
  <si>
    <t>ข้าวเม่า</t>
  </si>
  <si>
    <t>หัวไผ่</t>
  </si>
  <si>
    <t>กะทุ่ม</t>
  </si>
  <si>
    <t>มหาราช</t>
  </si>
  <si>
    <t>บางนา</t>
  </si>
  <si>
    <t>โรงช้าง</t>
  </si>
  <si>
    <t>เจ้าปลุก</t>
  </si>
  <si>
    <t>พิตเพียน</t>
  </si>
  <si>
    <t>บ้านนา</t>
  </si>
  <si>
    <t>บ้านขวาง</t>
  </si>
  <si>
    <t>ท่าตอ</t>
  </si>
  <si>
    <t>บ้านแพรก</t>
  </si>
  <si>
    <t>สำพะเนียง</t>
  </si>
  <si>
    <t>คลองน้อย</t>
  </si>
  <si>
    <t>สองห้อง</t>
  </si>
  <si>
    <t>ประกันสังคม</t>
  </si>
  <si>
    <t>ข้าราชการ</t>
  </si>
  <si>
    <t>อปท.</t>
  </si>
  <si>
    <t>ยังไม่ระบุสิทธิ</t>
  </si>
  <si>
    <t>หมู่</t>
  </si>
  <si>
    <t>ตำบล</t>
  </si>
  <si>
    <t>สอทธิมากกว่า 1 สิทธิ</t>
  </si>
  <si>
    <t>อปท</t>
  </si>
  <si>
    <t>มากกว่า 1 กองทุน</t>
  </si>
  <si>
    <t>ยังไม่มีระบุสิทธิ</t>
  </si>
  <si>
    <t>จำนวนประชาการ Non UC อำเภอบ้านแพรก</t>
  </si>
  <si>
    <t>รวม</t>
  </si>
  <si>
    <t>หมู่ที่</t>
  </si>
  <si>
    <t>มากกว่า 12 กองทุน</t>
  </si>
  <si>
    <t>จำนวนประชาการ Non UC อำเภออุทัย</t>
  </si>
  <si>
    <t>จำนวนประชาการ Non UC อำเภอมหาราช</t>
  </si>
  <si>
    <t>จำนวนประชาการ Non UC อำเภอบางซ้าย</t>
  </si>
  <si>
    <t>จำนวนประชาการ Non UC อำเภอเสนา</t>
  </si>
  <si>
    <t>สิมธิมากกว่า 1 กองทุน</t>
  </si>
  <si>
    <t>จำนวนประชาการ Non UC อำเภอวังน้อย</t>
  </si>
  <si>
    <t>สิทธิมากกว่า 1 กองทุน</t>
  </si>
  <si>
    <t>จำนวนประชาการ Non UC อำเภอลาดบัวหลวง</t>
  </si>
  <si>
    <t>สิทธิมากกว่า 1กองทุน</t>
  </si>
  <si>
    <t>จำนวนประชาการ Non UC อำเภอภาชี</t>
  </si>
  <si>
    <t>จำนวนประชาการ Non UC อำเภอผักไห่</t>
  </si>
  <si>
    <t>จำนวนประชาการ Non UC อำเภอบางปะหัน</t>
  </si>
  <si>
    <t>สิทธมากกว่า 1 กองทุน</t>
  </si>
  <si>
    <t>จำนวนประชาการ Non UC อำเภอบางปะอิน</t>
  </si>
  <si>
    <t>จำนวนประชาการ Non UC อำเภอบางบาล</t>
  </si>
  <si>
    <t>จำนวนประชาการ Non UC อำเภอบางไทร</t>
  </si>
  <si>
    <t>จำนวนประชาการ Non UC อำเภอนครหลวง</t>
  </si>
  <si>
    <t>จำนวนประชาการ Non UC อำเภอท่าเรือ</t>
  </si>
  <si>
    <t>จำนวนประชาการ Non UC อำเภอพระนครศรีอยุธยา</t>
  </si>
  <si>
    <t>HMAIN</t>
  </si>
  <si>
    <t>หน่วยบริการประจำ</t>
  </si>
  <si>
    <t>hsub</t>
  </si>
  <si>
    <t>หน่วยบริการปฐมภูมิ</t>
  </si>
  <si>
    <t>จำนวนประชากร</t>
  </si>
  <si>
    <t>10660</t>
  </si>
  <si>
    <t>รพ.พระนครศรีอยุธยา</t>
  </si>
  <si>
    <t>01149</t>
  </si>
  <si>
    <t>สอ.วัดพระญาติการาม</t>
  </si>
  <si>
    <t>01150</t>
  </si>
  <si>
    <t>สอ.ต.ไผ่ลิง</t>
  </si>
  <si>
    <t>01151</t>
  </si>
  <si>
    <t>สอ.ต.ปากกราน</t>
  </si>
  <si>
    <t>01152</t>
  </si>
  <si>
    <t>สอ.ต.ภูเขาทอง</t>
  </si>
  <si>
    <t>01153</t>
  </si>
  <si>
    <t>สอ.ต.สำเภาล่ม</t>
  </si>
  <si>
    <t>01154</t>
  </si>
  <si>
    <t>สอ.บ้านเพนียด</t>
  </si>
  <si>
    <t>01155</t>
  </si>
  <si>
    <t>สอ.ต.สวนพริก</t>
  </si>
  <si>
    <t>01156</t>
  </si>
  <si>
    <t>สอ.ต.คลองตะเคียน</t>
  </si>
  <si>
    <t>01157</t>
  </si>
  <si>
    <t>สอ.ต.วัดตูม</t>
  </si>
  <si>
    <t>01158</t>
  </si>
  <si>
    <t>สอ.ต.หันตรา</t>
  </si>
  <si>
    <t>01159</t>
  </si>
  <si>
    <t>สอ.ต.ลุมพลี</t>
  </si>
  <si>
    <t>01160</t>
  </si>
  <si>
    <t>สอ.ต.บ้านใหม่</t>
  </si>
  <si>
    <t>01161</t>
  </si>
  <si>
    <t>สอ.ต.บ้านเกาะ</t>
  </si>
  <si>
    <t>01162</t>
  </si>
  <si>
    <t>สอ.ต.คลองสวนพลู</t>
  </si>
  <si>
    <t>01163</t>
  </si>
  <si>
    <t>สอ.ต.คลองสระบัว</t>
  </si>
  <si>
    <t>01164</t>
  </si>
  <si>
    <t>สอ.ต.เกาะเรียน</t>
  </si>
  <si>
    <t>01165</t>
  </si>
  <si>
    <t>สอ.ต.บ้านป้อม</t>
  </si>
  <si>
    <t>01166</t>
  </si>
  <si>
    <t>สอ.ต.บ้านรุน</t>
  </si>
  <si>
    <t>01193</t>
  </si>
  <si>
    <t>สอ.ต.บ้านแป้ง</t>
  </si>
  <si>
    <t>01196</t>
  </si>
  <si>
    <t>สอ.ต.แคออก</t>
  </si>
  <si>
    <t>01199</t>
  </si>
  <si>
    <t>สอ.ต.กระแชง</t>
  </si>
  <si>
    <t>01200</t>
  </si>
  <si>
    <t>สอ.ต.บ้านกลึง</t>
  </si>
  <si>
    <t>01201</t>
  </si>
  <si>
    <t>สอ.ต.ช้างน้อย</t>
  </si>
  <si>
    <t>01216</t>
  </si>
  <si>
    <t>สอ.ต.ไทรน้อย</t>
  </si>
  <si>
    <t>01228</t>
  </si>
  <si>
    <t>สอ.ต.บ้านกุ่ม</t>
  </si>
  <si>
    <t>01232</t>
  </si>
  <si>
    <t>สอ.ต.บ้านกรด</t>
  </si>
  <si>
    <t>01233</t>
  </si>
  <si>
    <t>สอ.ขนอนเหนือ</t>
  </si>
  <si>
    <t>01236</t>
  </si>
  <si>
    <t>สอ.ต.บ้านหว้า</t>
  </si>
  <si>
    <t>01238</t>
  </si>
  <si>
    <t>สอ.ต.บางประแดง</t>
  </si>
  <si>
    <t>01239</t>
  </si>
  <si>
    <t>สอ.ต.สามเรือน</t>
  </si>
  <si>
    <t>01244</t>
  </si>
  <si>
    <t>สอ.ต.คุ้งลาน</t>
  </si>
  <si>
    <t>01246</t>
  </si>
  <si>
    <t>สอ.บ้านลานเท</t>
  </si>
  <si>
    <t>01248</t>
  </si>
  <si>
    <t>สอ.ต.ขนอนหลวง</t>
  </si>
  <si>
    <t>01250</t>
  </si>
  <si>
    <t>สอ.ต.ขยาย</t>
  </si>
  <si>
    <t>01261</t>
  </si>
  <si>
    <t>สอ.ต.โพธิ์สามต้น</t>
  </si>
  <si>
    <t>01262</t>
  </si>
  <si>
    <t>สอ.ต.พุทเลา</t>
  </si>
  <si>
    <t>06047</t>
  </si>
  <si>
    <t>10471</t>
  </si>
  <si>
    <t>10472</t>
  </si>
  <si>
    <t>10473</t>
  </si>
  <si>
    <t>ศูนย์บริการสาธารณสุข วัดกล้วย หมู่ที่11</t>
  </si>
  <si>
    <t>14415</t>
  </si>
  <si>
    <t>ศูนย์บริการสาธารณสุขเทศบาลนครศรีอยุธยา</t>
  </si>
  <si>
    <t>21423</t>
  </si>
  <si>
    <t>สถานพยาบาลเรือนจำกลางพระนครศรีอยุธยา</t>
  </si>
  <si>
    <t>21425</t>
  </si>
  <si>
    <t>สถานพยาบาลทัณฑสถานวัยหนุ่มพระนครศรีอยุธยา</t>
  </si>
  <si>
    <t>21426</t>
  </si>
  <si>
    <t>สถานพยาบาลทัณฑสถานบำบัดพิเศษพระนครศรีอยุธยา</t>
  </si>
  <si>
    <t>21484</t>
  </si>
  <si>
    <t>21485</t>
  </si>
  <si>
    <t>22780</t>
  </si>
  <si>
    <t>สถานพยาบาลเรือนจำจังหวัดพระนครศรีอยุธยา</t>
  </si>
  <si>
    <t>23782</t>
  </si>
  <si>
    <t>คลินิกชุมชนสามเรือน(ของรัฐบาล)</t>
  </si>
  <si>
    <t>10688</t>
  </si>
  <si>
    <t>รพ.เสนา</t>
  </si>
  <si>
    <t>01191</t>
  </si>
  <si>
    <t>สอ.ต.บางพลี</t>
  </si>
  <si>
    <t>01194</t>
  </si>
  <si>
    <t>สอ.ต.หน้าไม้</t>
  </si>
  <si>
    <t>01195</t>
  </si>
  <si>
    <t>สอ.ต.บางยี่โท</t>
  </si>
  <si>
    <t>01197</t>
  </si>
  <si>
    <t>สอ.ต.แคตก</t>
  </si>
  <si>
    <t>01198</t>
  </si>
  <si>
    <t>สอ.ต.ช่างเหล็ก</t>
  </si>
  <si>
    <t>01202</t>
  </si>
  <si>
    <t>สอ.ต.ห่อหมก</t>
  </si>
  <si>
    <t>01203</t>
  </si>
  <si>
    <t>สอ.ต.ไผ่พระ</t>
  </si>
  <si>
    <t>01204</t>
  </si>
  <si>
    <t>สอ.ต.กกแก้วบูรพา</t>
  </si>
  <si>
    <t>01205</t>
  </si>
  <si>
    <t>สอ.ต.ไม้ตรา</t>
  </si>
  <si>
    <t>01206</t>
  </si>
  <si>
    <t>สอ.ต.บ้านม้า</t>
  </si>
  <si>
    <t>01207</t>
  </si>
  <si>
    <t>01213</t>
  </si>
  <si>
    <t>สอ.ต.โคกช้าง</t>
  </si>
  <si>
    <t>01220</t>
  </si>
  <si>
    <t>สอ.ต.พระขาว</t>
  </si>
  <si>
    <t>01221</t>
  </si>
  <si>
    <t>สอ.ต.น้ำเต้า</t>
  </si>
  <si>
    <t>01222</t>
  </si>
  <si>
    <t>สอ.ต.ทางช้าง</t>
  </si>
  <si>
    <t>01269</t>
  </si>
  <si>
    <t>สอ.ต.ท่าดินแดง</t>
  </si>
  <si>
    <t>01287</t>
  </si>
  <si>
    <t>สอ.ต.หลักชัย</t>
  </si>
  <si>
    <t>01289</t>
  </si>
  <si>
    <t>สอ.พระยาบันลือ</t>
  </si>
  <si>
    <t>01291</t>
  </si>
  <si>
    <t>สอ.สิงหนาท 2 (วัดหนองปลาดุก)</t>
  </si>
  <si>
    <t>01292</t>
  </si>
  <si>
    <t>สอ.ต.คู้สลอด</t>
  </si>
  <si>
    <t>01304</t>
  </si>
  <si>
    <t>สอ.ต.บ้านแพน</t>
  </si>
  <si>
    <t>01305</t>
  </si>
  <si>
    <t>สอ.ต.เจ้าเจ็ด</t>
  </si>
  <si>
    <t>01306</t>
  </si>
  <si>
    <t>สอ.ต.สามกอ</t>
  </si>
  <si>
    <t>01307</t>
  </si>
  <si>
    <t>สอ.ต.บางนมโค</t>
  </si>
  <si>
    <t>01308</t>
  </si>
  <si>
    <t>สอ.ต.หัวเวียง</t>
  </si>
  <si>
    <t>01309</t>
  </si>
  <si>
    <t>สอ.ต.มารวิชัย</t>
  </si>
  <si>
    <t>01310</t>
  </si>
  <si>
    <t>สอ.ต.บ้านโพธิ์</t>
  </si>
  <si>
    <t>01311</t>
  </si>
  <si>
    <t>สอ.ต.รางจรเข้</t>
  </si>
  <si>
    <t>01312</t>
  </si>
  <si>
    <t>สอ.ต.บ้านกระทุ่ม</t>
  </si>
  <si>
    <t>01313</t>
  </si>
  <si>
    <t>สอ.ต.บ้านแถว</t>
  </si>
  <si>
    <t>01314</t>
  </si>
  <si>
    <t>สอ.ต.ชายนา</t>
  </si>
  <si>
    <t>01315</t>
  </si>
  <si>
    <t>สอ.ต.สามตุ่ม</t>
  </si>
  <si>
    <t>01316</t>
  </si>
  <si>
    <t>สอ.ต.ลาดงา</t>
  </si>
  <si>
    <t>01317</t>
  </si>
  <si>
    <t>สอ.ต.ดอนทอง</t>
  </si>
  <si>
    <t>01318</t>
  </si>
  <si>
    <t>สอ.ต.บ้านหลวง</t>
  </si>
  <si>
    <t>01319</t>
  </si>
  <si>
    <t>สอ.ต.เจ้าเสด็จ</t>
  </si>
  <si>
    <t>01322</t>
  </si>
  <si>
    <t>สอ.ต.เต่าเล่า</t>
  </si>
  <si>
    <t>01323</t>
  </si>
  <si>
    <t>สอ.ทางหลวง</t>
  </si>
  <si>
    <t>01324</t>
  </si>
  <si>
    <t>สอ.ต.ปลายกลัด</t>
  </si>
  <si>
    <t>14915</t>
  </si>
  <si>
    <t>สอ.ต.ลาดบัวหลวง</t>
  </si>
  <si>
    <t>10768</t>
  </si>
  <si>
    <t>รพ.ท่าเรือ</t>
  </si>
  <si>
    <t>01167</t>
  </si>
  <si>
    <t>สอ.ต.จำปา</t>
  </si>
  <si>
    <t>01168</t>
  </si>
  <si>
    <t>สอ.ต.ท่าหลวง</t>
  </si>
  <si>
    <t>01169</t>
  </si>
  <si>
    <t>สอ.บ้านดอนประดู่</t>
  </si>
  <si>
    <t>01170</t>
  </si>
  <si>
    <t>สอ.ต.บ้านร่อม</t>
  </si>
  <si>
    <t>01171</t>
  </si>
  <si>
    <t>สอ.ต.ศาลาลอย</t>
  </si>
  <si>
    <t>01172</t>
  </si>
  <si>
    <t>สอ.บ้านศาลาลอย</t>
  </si>
  <si>
    <t>01173</t>
  </si>
  <si>
    <t>สอ.ต.วังแดง</t>
  </si>
  <si>
    <t>01174</t>
  </si>
  <si>
    <t>สอ.ต.โพธิ์เอน</t>
  </si>
  <si>
    <t>01175</t>
  </si>
  <si>
    <t>01176</t>
  </si>
  <si>
    <t>สอ.ต.ปากท่า</t>
  </si>
  <si>
    <t>01177</t>
  </si>
  <si>
    <t>สอ.ต.หนองขนาก</t>
  </si>
  <si>
    <t>01178</t>
  </si>
  <si>
    <t>สอ.ต.ท่าเจ้าสนุก</t>
  </si>
  <si>
    <t>01180</t>
  </si>
  <si>
    <t>สอ.ต.ท่าช้าง</t>
  </si>
  <si>
    <t>01189</t>
  </si>
  <si>
    <t>สอ.ต.สามไถ</t>
  </si>
  <si>
    <t>10769</t>
  </si>
  <si>
    <t>รพ.สมเด็จพระสังฆราช(นครหลวง)</t>
  </si>
  <si>
    <t>01179</t>
  </si>
  <si>
    <t>สอ.เฉลิมพระเกียรติ 60 พรรษา นวมินทราชินี</t>
  </si>
  <si>
    <t>01181</t>
  </si>
  <si>
    <t>สอ.ต.บ่อโพง</t>
  </si>
  <si>
    <t>01182</t>
  </si>
  <si>
    <t>สอ.ต.บ้านชุ้ง</t>
  </si>
  <si>
    <t>01183</t>
  </si>
  <si>
    <t>สอ.ต.ปากจั่น</t>
  </si>
  <si>
    <t>01184</t>
  </si>
  <si>
    <t>สอ.ต.บางระกำ</t>
  </si>
  <si>
    <t>01185</t>
  </si>
  <si>
    <t>สอ.ต.บางพระครู</t>
  </si>
  <si>
    <t>01186</t>
  </si>
  <si>
    <t>สอ.ต.แม่ลา</t>
  </si>
  <si>
    <t>01187</t>
  </si>
  <si>
    <t>สอ.ต.หนองปลิง</t>
  </si>
  <si>
    <t>01188</t>
  </si>
  <si>
    <t>สอ.ต.คลองสะแก</t>
  </si>
  <si>
    <t>01190</t>
  </si>
  <si>
    <t>สอ.ต.พระนอน</t>
  </si>
  <si>
    <t>01251</t>
  </si>
  <si>
    <t>สอ.ต.บางเดื่อ</t>
  </si>
  <si>
    <t>01337</t>
  </si>
  <si>
    <t>สอ.ต.ข้าวเม่า</t>
  </si>
  <si>
    <t>01338</t>
  </si>
  <si>
    <t>สอ.บ้านหนองคัดเค้า</t>
  </si>
  <si>
    <t>10770</t>
  </si>
  <si>
    <t>รพ.บางไทร</t>
  </si>
  <si>
    <t>01192</t>
  </si>
  <si>
    <t>สอ.ต.สนามไชย</t>
  </si>
  <si>
    <t>01208</t>
  </si>
  <si>
    <t>สอ.ต.ราชคราม</t>
  </si>
  <si>
    <t>01209</t>
  </si>
  <si>
    <t>สอ.ต.ช้างใหญ่</t>
  </si>
  <si>
    <t>01210</t>
  </si>
  <si>
    <t>สอ.คัคณางค์</t>
  </si>
  <si>
    <t>01211</t>
  </si>
  <si>
    <t>สอ.ต.โพธิ์แตง</t>
  </si>
  <si>
    <t>01212</t>
  </si>
  <si>
    <t>สอ.ต.เชียงรากน้อย</t>
  </si>
  <si>
    <t>10771</t>
  </si>
  <si>
    <t>รพ.บางบาล</t>
  </si>
  <si>
    <t>01214</t>
  </si>
  <si>
    <t>สอ.ต.บางบาล</t>
  </si>
  <si>
    <t>01215</t>
  </si>
  <si>
    <t>สอ.ต.วัดยม</t>
  </si>
  <si>
    <t>01217</t>
  </si>
  <si>
    <t>สอ.ต.มหาพราหมณ์</t>
  </si>
  <si>
    <t>01218</t>
  </si>
  <si>
    <t>สอ.ต.กบเจา</t>
  </si>
  <si>
    <t>01219</t>
  </si>
  <si>
    <t>สอ.ต.บ้านคลัง</t>
  </si>
  <si>
    <t>01223</t>
  </si>
  <si>
    <t>สอ.ต.วัดตะกู</t>
  </si>
  <si>
    <t>01224</t>
  </si>
  <si>
    <t>สอ.ต.บางหลวง</t>
  </si>
  <si>
    <t>01225</t>
  </si>
  <si>
    <t>สอ.ต.บางหลวงโดด</t>
  </si>
  <si>
    <t>01226</t>
  </si>
  <si>
    <t>สอ.ต.บางหัก</t>
  </si>
  <si>
    <t>01227</t>
  </si>
  <si>
    <t>สอ.ต.บางชะนี</t>
  </si>
  <si>
    <t>10772</t>
  </si>
  <si>
    <t>รพ.บางปะอิน</t>
  </si>
  <si>
    <t>01229</t>
  </si>
  <si>
    <t>สอ.คลองเปรม</t>
  </si>
  <si>
    <t>01230</t>
  </si>
  <si>
    <t>01231</t>
  </si>
  <si>
    <t>สอ.ต.บ้านโพ</t>
  </si>
  <si>
    <t>01234</t>
  </si>
  <si>
    <t>สอ.ต.บางกระสั้น</t>
  </si>
  <si>
    <t>01235</t>
  </si>
  <si>
    <t>สอ.ต.คลองจิก</t>
  </si>
  <si>
    <t>01237</t>
  </si>
  <si>
    <t>01240</t>
  </si>
  <si>
    <t>สอ.ต.เกาะเกิด</t>
  </si>
  <si>
    <t>01241</t>
  </si>
  <si>
    <t>สอ.ต.บ้านพลับ</t>
  </si>
  <si>
    <t>01242</t>
  </si>
  <si>
    <t>01243</t>
  </si>
  <si>
    <t>01245</t>
  </si>
  <si>
    <t>สอ.ต.ตลิ่งชัน</t>
  </si>
  <si>
    <t>01247</t>
  </si>
  <si>
    <t>สอ.ต.ตลาดเกรียบ</t>
  </si>
  <si>
    <t>01296</t>
  </si>
  <si>
    <t>สอ.ต.บ่อตาโล่</t>
  </si>
  <si>
    <t>01299</t>
  </si>
  <si>
    <t>สอ.ต.พยอม</t>
  </si>
  <si>
    <t>10773</t>
  </si>
  <si>
    <t>รพ.บางปะหัน</t>
  </si>
  <si>
    <t>01249</t>
  </si>
  <si>
    <t>สอ.อำเภอบางปะหัน</t>
  </si>
  <si>
    <t>01252</t>
  </si>
  <si>
    <t>สอ.ต.เสาธง</t>
  </si>
  <si>
    <t>01253</t>
  </si>
  <si>
    <t>สอ.ต.ทางกลาง</t>
  </si>
  <si>
    <t>01254</t>
  </si>
  <si>
    <t>สอ.ต.บางเพลิง</t>
  </si>
  <si>
    <t>01255</t>
  </si>
  <si>
    <t>สอ.ต.หันสัง</t>
  </si>
  <si>
    <t>01256</t>
  </si>
  <si>
    <t>สอ.ต.ตานิม</t>
  </si>
  <si>
    <t>01257</t>
  </si>
  <si>
    <t>สอ.ต.ทับน้ำ</t>
  </si>
  <si>
    <t>01258</t>
  </si>
  <si>
    <t>01259</t>
  </si>
  <si>
    <t>สอ.ต.ขวัญเมือง</t>
  </si>
  <si>
    <t>01260</t>
  </si>
  <si>
    <t>สอ.ต.บ้านลี่</t>
  </si>
  <si>
    <t>01263</t>
  </si>
  <si>
    <t>สอ.ต.ตาลเอน</t>
  </si>
  <si>
    <t>01264</t>
  </si>
  <si>
    <t>สอ.ต.บ้านขล้อ</t>
  </si>
  <si>
    <t>10774</t>
  </si>
  <si>
    <t>รพ.ผักไห่</t>
  </si>
  <si>
    <t>01265</t>
  </si>
  <si>
    <t>สอ.ต.ผักไห่(วัดราษฎร์นิยม)</t>
  </si>
  <si>
    <t>01266</t>
  </si>
  <si>
    <t>สอ.ต.อมฤต</t>
  </si>
  <si>
    <t>01267</t>
  </si>
  <si>
    <t>สอ.ต.บ้านแค</t>
  </si>
  <si>
    <t>01268</t>
  </si>
  <si>
    <t>สอ.ต.ลาดน้ำเค็ม</t>
  </si>
  <si>
    <t>01270</t>
  </si>
  <si>
    <t>สอ.ต.ดอนลาน</t>
  </si>
  <si>
    <t>01271</t>
  </si>
  <si>
    <t>สอ.ต.นาคู</t>
  </si>
  <si>
    <t>01272</t>
  </si>
  <si>
    <t>สอ.ต.กุฎี</t>
  </si>
  <si>
    <t>01273</t>
  </si>
  <si>
    <t>สอ.ต.ลำตะเคียน</t>
  </si>
  <si>
    <t>01274</t>
  </si>
  <si>
    <t>01275</t>
  </si>
  <si>
    <t>สอ.ต.จักราช</t>
  </si>
  <si>
    <t>01276</t>
  </si>
  <si>
    <t>สอ.ต.หนองน้ำใหญ่</t>
  </si>
  <si>
    <t>01277</t>
  </si>
  <si>
    <t>สอ.ต.ลาดชิด</t>
  </si>
  <si>
    <t>01278</t>
  </si>
  <si>
    <t>สอ.ต.หน้าโคก</t>
  </si>
  <si>
    <t>01279</t>
  </si>
  <si>
    <t>สอ.ต.บ้านใหญ่</t>
  </si>
  <si>
    <t>10775</t>
  </si>
  <si>
    <t>รพ.ภาชี</t>
  </si>
  <si>
    <t>01280</t>
  </si>
  <si>
    <t>สอ.ต.โคกม่วง</t>
  </si>
  <si>
    <t>01281</t>
  </si>
  <si>
    <t>สอ.ต.ระโสม</t>
  </si>
  <si>
    <t>01282</t>
  </si>
  <si>
    <t>สอ.ต.หนองน้ำใส</t>
  </si>
  <si>
    <t>01283</t>
  </si>
  <si>
    <t>สอ.ต.ดอนหญ้านาง</t>
  </si>
  <si>
    <t>01284</t>
  </si>
  <si>
    <t>สอ.ต.ไผ่ล้อม</t>
  </si>
  <si>
    <t>01285</t>
  </si>
  <si>
    <t>สอ.ต.กระจิว</t>
  </si>
  <si>
    <t>01286</t>
  </si>
  <si>
    <t>สอ.ต.พระแก้ว</t>
  </si>
  <si>
    <t>01332</t>
  </si>
  <si>
    <t>สอ.ต.หนองไม้ซุง</t>
  </si>
  <si>
    <t>01333</t>
  </si>
  <si>
    <t>สอ.ต.เสนา</t>
  </si>
  <si>
    <t>01335</t>
  </si>
  <si>
    <t>สอ.ต.โพสาวหาญ</t>
  </si>
  <si>
    <t>10776</t>
  </si>
  <si>
    <t>รพ.ลาดบัวหลวง</t>
  </si>
  <si>
    <t>01288</t>
  </si>
  <si>
    <t>สอ.ต.สามเมือง</t>
  </si>
  <si>
    <t>01290</t>
  </si>
  <si>
    <t>สอ.ต.สิงหนาท</t>
  </si>
  <si>
    <t>01293</t>
  </si>
  <si>
    <t>สอ.ต.พระยาบันลือ</t>
  </si>
  <si>
    <t>01325</t>
  </si>
  <si>
    <t>สอ.ต.เทพมงคล</t>
  </si>
  <si>
    <t>10777</t>
  </si>
  <si>
    <t>รพ.วังน้อย</t>
  </si>
  <si>
    <t>01294</t>
  </si>
  <si>
    <t>สอ.ต.วังน้อย</t>
  </si>
  <si>
    <t>01295</t>
  </si>
  <si>
    <t>สอ.ต.ลำตาเสา</t>
  </si>
  <si>
    <t>01297</t>
  </si>
  <si>
    <t>สอ.บ้านหนองโสน</t>
  </si>
  <si>
    <t>01298</t>
  </si>
  <si>
    <t>สอ.ต.สนับทึบ</t>
  </si>
  <si>
    <t>01300</t>
  </si>
  <si>
    <t>สอ.ต.หันตะเภา</t>
  </si>
  <si>
    <t>01301</t>
  </si>
  <si>
    <t>สอ.ต.วังจุฬา</t>
  </si>
  <si>
    <t>01302</t>
  </si>
  <si>
    <t>สอ.ต.ข้าวงาม</t>
  </si>
  <si>
    <t>01303</t>
  </si>
  <si>
    <t>สอ.ต.ชะแมบ</t>
  </si>
  <si>
    <t>01329</t>
  </si>
  <si>
    <t>สอ.ต.บ้านช้าง</t>
  </si>
  <si>
    <t>01334</t>
  </si>
  <si>
    <t>สอ.ต.หนองน้ำส้ม</t>
  </si>
  <si>
    <t>10778</t>
  </si>
  <si>
    <t>รพ.บางซ้าย</t>
  </si>
  <si>
    <t>01321</t>
  </si>
  <si>
    <t>สอ.ต.แก้วฟ้า</t>
  </si>
  <si>
    <t>01326</t>
  </si>
  <si>
    <t>สอ.ต.วังพัฒนา</t>
  </si>
  <si>
    <t>10779</t>
  </si>
  <si>
    <t>รพ.อุทัย</t>
  </si>
  <si>
    <t>01327</t>
  </si>
  <si>
    <t>สอ.อำเภออุทัย</t>
  </si>
  <si>
    <t>01328</t>
  </si>
  <si>
    <t>สอ.ต.คานหาม</t>
  </si>
  <si>
    <t>01330</t>
  </si>
  <si>
    <t>สอ.ต.สามบัณฑิต</t>
  </si>
  <si>
    <t>01331</t>
  </si>
  <si>
    <t>สอ.ต.บ้านหีบ</t>
  </si>
  <si>
    <t>01336</t>
  </si>
  <si>
    <t>สอ.ต.ธนู</t>
  </si>
  <si>
    <t>10780</t>
  </si>
  <si>
    <t>รพ.มหาราช</t>
  </si>
  <si>
    <t>01339</t>
  </si>
  <si>
    <t>สอ.ต.มหาราช</t>
  </si>
  <si>
    <t>01340</t>
  </si>
  <si>
    <t>สอ.ต.กระทุ่ม</t>
  </si>
  <si>
    <t>01341</t>
  </si>
  <si>
    <t>สอ.บ้านหนองจิก</t>
  </si>
  <si>
    <t>01342</t>
  </si>
  <si>
    <t>01343</t>
  </si>
  <si>
    <t>สอ.ต.บางนา</t>
  </si>
  <si>
    <t>01344</t>
  </si>
  <si>
    <t>สอ.ต.โรงช้าง</t>
  </si>
  <si>
    <t>01345</t>
  </si>
  <si>
    <t>สอ.ต.เจ้าปลุก</t>
  </si>
  <si>
    <t>01346</t>
  </si>
  <si>
    <t>สอ.ต.พิตเพียน</t>
  </si>
  <si>
    <t>01347</t>
  </si>
  <si>
    <t>สอ.ต.บ้านนา</t>
  </si>
  <si>
    <t>01348</t>
  </si>
  <si>
    <t>สอ.ต.บ้านขวาง</t>
  </si>
  <si>
    <t>01349</t>
  </si>
  <si>
    <t>สอ.ต.ท่าตอ</t>
  </si>
  <si>
    <t>01350</t>
  </si>
  <si>
    <t>10781</t>
  </si>
  <si>
    <t>รพ.บ้านแพรก</t>
  </si>
  <si>
    <t>01351</t>
  </si>
  <si>
    <t>สอ.ต.บ้านแพรก</t>
  </si>
  <si>
    <t>01352</t>
  </si>
  <si>
    <t>สอ.ต.สำพะเนียง</t>
  </si>
  <si>
    <t>01353</t>
  </si>
  <si>
    <t>สอ.ต.คลองน้อย</t>
  </si>
  <si>
    <t>01354</t>
  </si>
  <si>
    <t>สอ.ต.สองห้อง</t>
  </si>
  <si>
    <t xml:space="preserve"> ศูนย์เวชปฎิบัติครอบครัว</t>
  </si>
  <si>
    <t>ศูนย์แพทย์ สำนักงานสาธารณสุขพระนครศรีอยุธยา</t>
  </si>
  <si>
    <t>ศูนย์แพทย์ป้อมเพชร</t>
  </si>
  <si>
    <t>ศูนย์แพทย์วัดอินทาราม</t>
  </si>
  <si>
    <t xml:space="preserve">  ศูนย์แพทย์วัดตึก</t>
  </si>
  <si>
    <t>รหัสหน่วยบริการ</t>
  </si>
  <si>
    <t>จำนวนประชากร UC</t>
  </si>
  <si>
    <t>จำนวนประชากร NonUC</t>
  </si>
  <si>
    <t>จำนวนประชากร UC รายหน่วยบริการปฐมภูมิ อำเภอพระนครศรีอยุธยา</t>
  </si>
  <si>
    <t>ข้อมูลจาก รายงานสถิติ VR สปสช. ณ เมษายน 2562</t>
  </si>
  <si>
    <t>รวมประชากรอำเภอพระนครศรีอยุธยาทั้งหมด</t>
  </si>
  <si>
    <t>จำนวนประชากร UC รายหน่วยบริการปฐมภูมิ อำเภอท่าเรือ</t>
  </si>
  <si>
    <t>รวมประชากร UC</t>
  </si>
  <si>
    <t>รวมประชากรอำเภอท่าเรือ</t>
  </si>
  <si>
    <t>จำนวนประชากร UC รายหน่วยบริการปฐมภูมิ อำเภอนครหลวง</t>
  </si>
  <si>
    <t>รวมประชากรอำเภอนครหลวง ทั้งหมด</t>
  </si>
  <si>
    <t>จำนวนประชากร UC รายหน่วยบริการปฐมภูมิ อำเภอบางไทร</t>
  </si>
  <si>
    <t>รวมประชากรอำเภอบางไทร ทั้งหมด</t>
  </si>
  <si>
    <t>จำนวนประชากร UC รายหน่วยบริการปฐมภูมิ อำเภอบางบาล</t>
  </si>
  <si>
    <t>รวมประชากร Uc</t>
  </si>
  <si>
    <t>รวมประชากรอำเภอบางบาล ทั้งหมด</t>
  </si>
  <si>
    <t>จำนวนประชากร UC รายหน่วยบริการปฐมภูมิ อำเภอบางปะอิน</t>
  </si>
  <si>
    <t>รวมประชากรอำเภอบางปะอิน ทั้งหมด</t>
  </si>
  <si>
    <t>จำนวนประชากร UC รายหน่วยบริการปฐมภูมิ อำเภอบางปะหัน</t>
  </si>
  <si>
    <t>รวมประชากรอำเภอบางปะหัน ทั้งหมด</t>
  </si>
  <si>
    <t>จำนวนประชากร UC รายหน่วยบริการปฐมภูมิ อำเภอผักไห่</t>
  </si>
  <si>
    <t>Iรวมประชากรอำเภอผักไห่ ทั้งหมด</t>
  </si>
  <si>
    <t>จำนวนประชากร UC รายหน่วยบริการปฐมภูมิ อำเภอภาชี</t>
  </si>
  <si>
    <t xml:space="preserve">รวมประชากรอำเภอภาชี ทั้งหมด </t>
  </si>
  <si>
    <t>รวมประชากรอำเภอลาดบัวหลวง ทั้งหมด</t>
  </si>
  <si>
    <t>จำนวนประชากร UC รายหน่วยบริการปฐมภูมิ อำเภอวังน้อย</t>
  </si>
  <si>
    <t>จำนวนประชากร UC รายหน่วยบริการปฐมภูมิ อำเภอลาดบัวหลวง</t>
  </si>
  <si>
    <t>รวมประกชากรอำเภอวังน้อย ทั้งหมด</t>
  </si>
  <si>
    <t>จำนวนประชากร UC รายหน่วยบริการปฐมภูมิ อำเภอเสนา</t>
  </si>
  <si>
    <t>รวมประชากรอำเภอเสนา ทั้งหมด</t>
  </si>
  <si>
    <t>จำนวนประชากร UC รายหน่วยบริการปฐมภูมิ อำเภอบางซ้าย</t>
  </si>
  <si>
    <t>รวมประชากรอำเภอบางซ้าย ทั้งหมด</t>
  </si>
  <si>
    <t>จำนวนประชากร UC รายหน่วยบริการปฐมภูมิ อำเภออุทัย</t>
  </si>
  <si>
    <t>รวมประชากรอำเภออุทัย ทั้งหมด</t>
  </si>
  <si>
    <t>จำนวนประชากร UC รายหน่วยบริการปฐมภูมิ อำเภอมหาราช</t>
  </si>
  <si>
    <t>รวมประชากรอำเภอมหาราช ทั้งหมด</t>
  </si>
  <si>
    <t>จำนวนประชากร UC รายหน่วยบริการปฐมภูมิ อำเภอบ้านแพรก</t>
  </si>
  <si>
    <t>รวมจำนวนประชากร UC</t>
  </si>
  <si>
    <t>รวมประชากรอำเภอบ้านแพรกทั้งหมด</t>
  </si>
  <si>
    <t>จำนวนประชากร UC พื้นที่รอยต่ออำเภอ จังหวัดพระนครศรีอยุธยา</t>
  </si>
  <si>
    <t>อำเภอ</t>
  </si>
  <si>
    <t>รวมอำเภอบางไทร</t>
  </si>
  <si>
    <t>รวมอำเภอบางบาล</t>
  </si>
  <si>
    <t>บางปะอิน</t>
  </si>
  <si>
    <t>รวมอำเภอบางปะอิน</t>
  </si>
  <si>
    <t>รวมอำเภอบางปะหัน</t>
  </si>
  <si>
    <t>รวมประชากร UC พื้นที่รอยต่อ อำเภอพระนครศรีอยุธยา</t>
  </si>
  <si>
    <t>รวมอำเภอผักไห่</t>
  </si>
  <si>
    <t>รวมอำเภอลาดบัวหลวง</t>
  </si>
  <si>
    <t>รวมอำเภอบางซ้าย</t>
  </si>
  <si>
    <t>รวมอำเภอนครหลวง</t>
  </si>
  <si>
    <t>รวมประชากร UC พื้นที่รอยต่ออำเภอเสนา</t>
  </si>
  <si>
    <t>พระนครศรีอยุธยา</t>
  </si>
  <si>
    <t>รวมอำเภอพระนครศรีอยุธยา</t>
  </si>
  <si>
    <t>รวมอำเภอท่าเรือ</t>
  </si>
  <si>
    <t>รวมอำเภออุทัย</t>
  </si>
  <si>
    <t>รวมประชากร UC พื้นที่รอบต่ออำเภอนครหลวง</t>
  </si>
  <si>
    <t>รวมประชากร UC พื้นที่รอยต่ออำเภอบางไทร</t>
  </si>
  <si>
    <t>รวมประชากร UC พื้นที่รอยต่ออำเภอบางบาล</t>
  </si>
  <si>
    <t>รวมอำเภอวังน้อย</t>
  </si>
  <si>
    <t>รวมประชากร UC พื้นที่รอยต่ออำเภอบางปะอิน</t>
  </si>
  <si>
    <t>รวมประชากร UC พื้นที่รอยต่ออำเภอบางปะหัน</t>
  </si>
  <si>
    <t>รวมประชากร UC พื้นที่รอยต่ออำเภอภาชี</t>
  </si>
  <si>
    <t>รวมประชากร UC พื้นที่รอยต่ออำเภอลาดบัวหลวง</t>
  </si>
  <si>
    <t>รวมประชากร UC พื้นที่รอยต่ออำเภอวังน้อย</t>
  </si>
  <si>
    <t>รวมอำเภอภาชี</t>
  </si>
  <si>
    <t>รวมประชากร UC พื้นที่รอยต่ออำเภออุทัย</t>
  </si>
  <si>
    <t>รวมประชกร UC พื้นที่รอยต่ออำเภอมหาราช</t>
  </si>
  <si>
    <t>รวมอำเภอมหาราช</t>
  </si>
  <si>
    <t>รวมประชากร UC พื้นที่รอยต่ออำเภอบ้านแพรก</t>
  </si>
  <si>
    <t>สมเด็จพระสังฆราช</t>
  </si>
  <si>
    <t>โรงพยาบาล</t>
  </si>
  <si>
    <t>จำนวนประชากร UC จังหวัดพระนครศรีอยุธยา</t>
  </si>
  <si>
    <t>ข้อมูล VR จาก สปสช. ณ เมษายน 2563</t>
  </si>
  <si>
    <t>ข้อมูลจากรายงานสำนักงานหลักประกันสุขภาพแห่งชาติ VR ณ เมษายน 2563</t>
  </si>
  <si>
    <t>รพ.สต.พิตเพียน</t>
  </si>
  <si>
    <t>รพ.สต.บ้านนา</t>
  </si>
  <si>
    <t>รพ.สต.โรงช้าง</t>
  </si>
  <si>
    <t>รพ.สต.บ้านแป้ง</t>
  </si>
  <si>
    <t>รพ.สต.แคออก</t>
  </si>
  <si>
    <t>รพ.สต.กระแชง</t>
  </si>
  <si>
    <t>รพ.สต.บ้านกลึง</t>
  </si>
  <si>
    <t>รพ.สต.ช้างน้อย</t>
  </si>
  <si>
    <t>รพ.สต.ไทรน้อย</t>
  </si>
  <si>
    <t>รพ.สต.บ้านกุ่ม</t>
  </si>
  <si>
    <t>รพ.สต.บ้านกรด</t>
  </si>
  <si>
    <t>รพ.สต.บ้านหว้า</t>
  </si>
  <si>
    <t>รพ.สต.บางประแดง</t>
  </si>
  <si>
    <t>รพ.สต.สามเรือน</t>
  </si>
  <si>
    <t>รพ.สต.คุ้งลาน</t>
  </si>
  <si>
    <t>รพ.สต.ขนอนหลวง</t>
  </si>
  <si>
    <t>รพ.สต.ขยาย</t>
  </si>
  <si>
    <t>รพ.สต.โพธิ์สามต้น</t>
  </si>
  <si>
    <t>รพ.สต.พุทเลา</t>
  </si>
  <si>
    <t>รพ.สต.บางพลี</t>
  </si>
  <si>
    <t>รพ.สต.หน้าไม้</t>
  </si>
  <si>
    <t>รพ.สต.บางยี่โท</t>
  </si>
  <si>
    <t>รพ.สต.แคตก</t>
  </si>
  <si>
    <t>รพ.สต.ช่างเหล็ก</t>
  </si>
  <si>
    <t>รพ.สต.ห่อหมก</t>
  </si>
  <si>
    <t>รพ.สต.ไผ่พระ</t>
  </si>
  <si>
    <t>รพ.สต.กกแก้วบูรพา</t>
  </si>
  <si>
    <t>รพ.สต.ไม้ตรา</t>
  </si>
  <si>
    <t>รพ.สต.บ้านม้า</t>
  </si>
  <si>
    <t>รพ.สต.บ้านเกาะ</t>
  </si>
  <si>
    <t>รพ.สต.โคกช้าง</t>
  </si>
  <si>
    <t>รพ.สต.พระขาว</t>
  </si>
  <si>
    <t>รพ.สต.น้ำเต้า</t>
  </si>
  <si>
    <t>รพ.สต.ทางช้าง</t>
  </si>
  <si>
    <t>รพ.สต.ท่าดินแดง</t>
  </si>
  <si>
    <t>รพ.สต.หลักชัย</t>
  </si>
  <si>
    <t>รพ.สต.คู้สลอด</t>
  </si>
  <si>
    <t>รพ.สต.ลาดบัวหลวง</t>
  </si>
  <si>
    <t>รพ.สต.เต่าเล่า</t>
  </si>
  <si>
    <t>รพ.สต.ปลายกลัด</t>
  </si>
  <si>
    <t>รพ.สต.ท่าช้าง</t>
  </si>
  <si>
    <t>รพ.สต.สามไถ</t>
  </si>
  <si>
    <t>รพ.สต.หันตรา</t>
  </si>
  <si>
    <t>รพ.สต.ปากท่า</t>
  </si>
  <si>
    <t>รพ.สต.บางเดื่อ</t>
  </si>
  <si>
    <t>รพ.สต.ข้าวเม่า</t>
  </si>
  <si>
    <t>รพ.สต.บ้านป้อม</t>
  </si>
  <si>
    <t>รพ.สต.สนามไชย</t>
  </si>
  <si>
    <t>รพ.สต.ราชคราม</t>
  </si>
  <si>
    <t>รพ.สต.ช้างใหญ่</t>
  </si>
  <si>
    <t>รพ.สต.โพธิ์แตง</t>
  </si>
  <si>
    <t>รพ.สต.เชียงรากน้อย</t>
  </si>
  <si>
    <t>รพ.สต.บ่อตาโล่</t>
  </si>
  <si>
    <t>รพ.สต.พยอม</t>
  </si>
  <si>
    <t>รพ.สต.บ้านใหม่</t>
  </si>
  <si>
    <t>รพ.สต.ปากจั่น</t>
  </si>
  <si>
    <t>รพ.สต.บางระกำ</t>
  </si>
  <si>
    <t>รพ.สต.บางพระครู</t>
  </si>
  <si>
    <t>รพ.สต.หนองขนาก</t>
  </si>
  <si>
    <t>รพ.สต.บ้านชุ้ง</t>
  </si>
  <si>
    <t>รพ.สต.หนองปลิง</t>
  </si>
  <si>
    <t>รพ.สต.คลองสะแก</t>
  </si>
  <si>
    <t>รพ.สต.หนองไม้ซุง</t>
  </si>
  <si>
    <t>รพ.สต.เสนา</t>
  </si>
  <si>
    <t>รพ.สต.โพสาวหาญ</t>
  </si>
  <si>
    <t>รพ.สต.เทพมงคล</t>
  </si>
  <si>
    <t>รพ.สต.บ้านช้าง</t>
  </si>
  <si>
    <t>รพ.สต.หนองน้ำส้ม</t>
  </si>
  <si>
    <t>รพ.สต.กระจิว</t>
  </si>
  <si>
    <t>รพ.สต.ทางกลาง</t>
  </si>
  <si>
    <t>รพ.สต.หันสัง</t>
  </si>
  <si>
    <t>รพ.สต.ตาลเอน</t>
  </si>
  <si>
    <t>ข้อมูลจาก รายงานสถิติ VR สปสช. ณ เมษายน 2563</t>
  </si>
  <si>
    <t>ข้อมูลจาก dbpop สปสช ณ เมษายน 2563</t>
  </si>
  <si>
    <t>ข้อมูลเดิม</t>
  </si>
  <si>
    <t>s</t>
  </si>
  <si>
    <t>สิทธิมากกว่า 1 สิทธิ</t>
  </si>
  <si>
    <t>รวมทุกสิทธิ</t>
  </si>
  <si>
    <t>S</t>
  </si>
  <si>
    <t>M</t>
  </si>
  <si>
    <t>L</t>
  </si>
  <si>
    <t>CUP จัดสรรจริง</t>
  </si>
  <si>
    <t>m</t>
  </si>
  <si>
    <t>รหัส</t>
  </si>
  <si>
    <t>3,001-8,000</t>
  </si>
  <si>
    <t>8,001 ขึนไป</t>
  </si>
  <si>
    <t>l</t>
  </si>
  <si>
    <t>%</t>
  </si>
  <si>
    <t>คำนวณ ปี 64</t>
  </si>
  <si>
    <t>สอ.ต.บ้านแป้ง 2</t>
  </si>
  <si>
    <t>สอ.ต.บ้านแป้ง 1</t>
  </si>
  <si>
    <t>POP</t>
  </si>
  <si>
    <t>SIZE</t>
  </si>
  <si>
    <t>บาท</t>
  </si>
  <si>
    <t>ป้ายชื่อแถว</t>
  </si>
  <si>
    <t>ผลรวมทั้งหมด</t>
  </si>
  <si>
    <t>นับจำนวน ของ 11</t>
  </si>
  <si>
    <t>ป้ายชื่อคอลัมน์</t>
  </si>
  <si>
    <t>รวมประชากรทั้งหมด</t>
  </si>
  <si>
    <t>ผลรวม ของ 15</t>
  </si>
  <si>
    <t>SSS</t>
  </si>
  <si>
    <t>SS</t>
  </si>
  <si>
    <t>sss</t>
  </si>
  <si>
    <t>ss</t>
  </si>
  <si>
    <t>ข้อมูล</t>
  </si>
  <si>
    <t>ร่างยอดเงินโอน Fix cost 64</t>
  </si>
  <si>
    <t>ณ วันที่</t>
  </si>
  <si>
    <t>แผน planfin รพ.สต.ประมาณการ 2563</t>
  </si>
  <si>
    <t>ผลงาน planfin รพ.สต. 6 เดือน (ต.ค.62 - มี.ค.63)</t>
  </si>
  <si>
    <t>ขนาด</t>
  </si>
  <si>
    <t>CUP</t>
  </si>
  <si>
    <t>จำนวน รพ.สต</t>
  </si>
  <si>
    <t>รายรับสูงกว่า(ต่ำกว่า)ค่าใช้จ่ายไม่รวมค่ายาฯ (EBITDA)</t>
  </si>
  <si>
    <t>รพ.สต.ขาดดุล</t>
  </si>
  <si>
    <t>รพ.สต.เกินดุล</t>
  </si>
  <si>
    <t>เงินบำรุงคงเหลือยอดยกมา ปี 2562</t>
  </si>
  <si>
    <t>เงินบำรุงคงเหลือสุทธิ</t>
  </si>
  <si>
    <t>จัดสรรจริง</t>
  </si>
  <si>
    <t>-</t>
  </si>
  <si>
    <t>แผน fix cost 64</t>
  </si>
  <si>
    <t>จัดสรร ก่อน 31 มีนาคม64</t>
  </si>
  <si>
    <t>งวด 1</t>
  </si>
  <si>
    <t>สอ.ต.โพธิ์เอน(4)</t>
  </si>
  <si>
    <t>งวด 2</t>
  </si>
  <si>
    <t>วันที่โอนครั้งสุดท้าย(1)</t>
  </si>
  <si>
    <t>วันที่โอนครั้งสุดท้าย(2)</t>
  </si>
  <si>
    <t>จัดสรร งวด2 ก่อน 30 กันยายน 64</t>
  </si>
  <si>
    <t>งวด 3</t>
  </si>
  <si>
    <t>วันที่โอนครั้งสุดท้าย(3)</t>
  </si>
  <si>
    <t>จัดสรร งวด3</t>
  </si>
  <si>
    <t>1.9 ล.</t>
  </si>
  <si>
    <t>5.660 ล</t>
  </si>
  <si>
    <t>โอน 4 งวด</t>
  </si>
  <si>
    <t>* จ่ายงวด 2 สสอ. 2 แสน รพ.สต.บ้านสร้าง 2 แสน</t>
  </si>
  <si>
    <t>โอน Fixed cost รพ.สต.</t>
  </si>
  <si>
    <t>ตารางโอน fixed cost  ปี2564</t>
  </si>
  <si>
    <t>*ถ้าจัดสรรเงิน Fixed Cost รพ.สต. หลัง 31 มีนาคม 2564 จะทำให้ผล Planfin รอบครึ่งปีแรก(6 เดือน)ขาดดุลในบางแห่ง</t>
  </si>
  <si>
    <t>**สสอ.บางซ้าย ได้รับจัดสรร Fixed Cost งวดแรก 930,000 บาท ยอดโอนจริงหลังหักค่ายาแล้ว 489,511.35 บาท</t>
  </si>
  <si>
    <t>งวด 4</t>
  </si>
  <si>
    <t>ภายในปี (64)</t>
  </si>
  <si>
    <t>ข้ามปีงบประมาณ (65)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</si>
</sst>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87" formatCode="_-* #,##0_-;\-* #,##0_-;_-* &quot;-&quot;??_-;_-@_-"/>
    <numFmt numFmtId="188" formatCode="#,##0_ ;\-#,##0\ "/>
    <numFmt numFmtId="189" formatCode="#,##0.00_ ;\-#,##0.00\ "/>
    <numFmt numFmtId="190" formatCode="0_ ;\-0\ "/>
    <numFmt numFmtId="191" formatCode="[$-1070000]d/m/yy;@"/>
    <numFmt numFmtId="192" formatCode="[$-107041E]d\ mmmm\ yyyy;@"/>
    <numFmt numFmtId="193" formatCode="[$-107041E]d\ mmm\ yy;@"/>
  </numFmts>
  <fonts count="24" x14ac:knownFonts="1">
    <font>
      <sz val="10"/>
      <name val="MS Sans Serif"/>
    </font>
    <font>
      <sz val="10"/>
      <name val="MS Sans Serif"/>
      <family val="2"/>
      <charset val="222"/>
    </font>
    <font>
      <sz val="16"/>
      <name val="TH SarabunPSK"/>
      <family val="2"/>
    </font>
    <font>
      <sz val="10"/>
      <name val="MS Sans Serif"/>
      <family val="2"/>
      <charset val="222"/>
    </font>
    <font>
      <b/>
      <sz val="16"/>
      <name val="TH SarabunPSK"/>
      <family val="2"/>
    </font>
    <font>
      <b/>
      <sz val="10"/>
      <color theme="0"/>
      <name val="MS Sans Serif"/>
      <family val="2"/>
      <charset val="222"/>
    </font>
    <font>
      <b/>
      <sz val="16"/>
      <color rgb="FFFF0000"/>
      <name val="TH SarabunPSK"/>
      <family val="2"/>
    </font>
    <font>
      <sz val="16"/>
      <color rgb="FF0070C0"/>
      <name val="TH SarabunPSK"/>
      <family val="2"/>
    </font>
    <font>
      <sz val="12"/>
      <color theme="1"/>
      <name val="Tahoma"/>
      <family val="2"/>
      <charset val="222"/>
      <scheme val="minor"/>
    </font>
    <font>
      <b/>
      <sz val="10"/>
      <name val="MS Sans Serif"/>
      <family val="2"/>
      <charset val="222"/>
    </font>
    <font>
      <b/>
      <sz val="14.5"/>
      <name val="MS Sans Serif"/>
      <family val="2"/>
      <charset val="222"/>
    </font>
    <font>
      <b/>
      <sz val="16"/>
      <color theme="0"/>
      <name val="TH SarabunPSK"/>
      <family val="2"/>
    </font>
    <font>
      <sz val="16"/>
      <color theme="1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b/>
      <sz val="14"/>
      <color theme="1"/>
      <name val="TH SarabunPSK"/>
      <family val="2"/>
    </font>
    <font>
      <b/>
      <sz val="14"/>
      <name val="TH SarabunPSK"/>
      <family val="2"/>
    </font>
    <font>
      <b/>
      <sz val="18"/>
      <color rgb="FFFF0000"/>
      <name val="TH SarabunPSK"/>
      <family val="2"/>
    </font>
    <font>
      <sz val="16"/>
      <color rgb="FFFF0000"/>
      <name val="TH SarabunPSK"/>
      <family val="2"/>
    </font>
    <font>
      <sz val="11"/>
      <name val="TH SarabunPSK"/>
      <family val="2"/>
    </font>
    <font>
      <sz val="11"/>
      <color rgb="FF9C0006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sz val="14"/>
      <color theme="0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</fonts>
  <fills count="2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A8572"/>
        <bgColor indexed="64"/>
      </patternFill>
    </fill>
    <fill>
      <patternFill patternType="solid">
        <fgColor rgb="FFFFC7CE"/>
      </patternFill>
    </fill>
    <fill>
      <patternFill patternType="solid">
        <fgColor theme="9"/>
      </patternFill>
    </fill>
    <fill>
      <patternFill patternType="solid">
        <fgColor rgb="FFFFEB9C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3" fillId="27" borderId="0" applyNumberFormat="0" applyBorder="0" applyAlignment="0" applyProtection="0"/>
  </cellStyleXfs>
  <cellXfs count="412">
    <xf numFmtId="0" fontId="0" fillId="0" borderId="0" xfId="0"/>
    <xf numFmtId="0" fontId="0" fillId="0" borderId="0" xfId="0" quotePrefix="1" applyNumberFormat="1"/>
    <xf numFmtId="0" fontId="2" fillId="0" borderId="0" xfId="0" applyFont="1"/>
    <xf numFmtId="0" fontId="2" fillId="2" borderId="0" xfId="0" quotePrefix="1" applyNumberFormat="1" applyFont="1" applyFill="1"/>
    <xf numFmtId="0" fontId="0" fillId="2" borderId="0" xfId="0" quotePrefix="1" applyNumberFormat="1" applyFill="1"/>
    <xf numFmtId="0" fontId="0" fillId="2" borderId="0" xfId="0" applyFill="1"/>
    <xf numFmtId="0" fontId="2" fillId="3" borderId="0" xfId="0" quotePrefix="1" applyNumberFormat="1" applyFont="1" applyFill="1"/>
    <xf numFmtId="0" fontId="2" fillId="4" borderId="0" xfId="0" quotePrefix="1" applyNumberFormat="1" applyFont="1" applyFill="1"/>
    <xf numFmtId="0" fontId="2" fillId="4" borderId="0" xfId="0" applyFont="1" applyFill="1"/>
    <xf numFmtId="0" fontId="0" fillId="3" borderId="0" xfId="0" quotePrefix="1" applyNumberFormat="1" applyFill="1"/>
    <xf numFmtId="0" fontId="0" fillId="3" borderId="0" xfId="0" applyFill="1"/>
    <xf numFmtId="0" fontId="0" fillId="0" borderId="0" xfId="0" applyAlignment="1">
      <alignment horizontal="center"/>
    </xf>
    <xf numFmtId="0" fontId="2" fillId="2" borderId="1" xfId="0" quotePrefix="1" applyNumberFormat="1" applyFont="1" applyFill="1" applyBorder="1" applyAlignment="1">
      <alignment horizontal="center"/>
    </xf>
    <xf numFmtId="0" fontId="2" fillId="3" borderId="1" xfId="0" quotePrefix="1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5" borderId="1" xfId="0" quotePrefix="1" applyNumberFormat="1" applyFont="1" applyFill="1" applyBorder="1"/>
    <xf numFmtId="0" fontId="2" fillId="5" borderId="1" xfId="0" quotePrefix="1" applyNumberFormat="1" applyFont="1" applyFill="1" applyBorder="1" applyAlignment="1">
      <alignment horizontal="center"/>
    </xf>
    <xf numFmtId="0" fontId="2" fillId="5" borderId="1" xfId="0" applyFont="1" applyFill="1" applyBorder="1"/>
    <xf numFmtId="0" fontId="2" fillId="5" borderId="1" xfId="0" applyFont="1" applyFill="1" applyBorder="1" applyAlignment="1">
      <alignment horizontal="center"/>
    </xf>
    <xf numFmtId="187" fontId="2" fillId="5" borderId="1" xfId="1" applyNumberFormat="1" applyFont="1" applyFill="1" applyBorder="1" applyAlignment="1">
      <alignment horizontal="center"/>
    </xf>
    <xf numFmtId="0" fontId="2" fillId="6" borderId="1" xfId="0" quotePrefix="1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5" borderId="1" xfId="0" applyFont="1" applyFill="1" applyBorder="1" applyAlignment="1"/>
    <xf numFmtId="0" fontId="2" fillId="7" borderId="1" xfId="0" quotePrefix="1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8" borderId="1" xfId="0" applyFont="1" applyFill="1" applyBorder="1"/>
    <xf numFmtId="0" fontId="2" fillId="8" borderId="1" xfId="0" applyFont="1" applyFill="1" applyBorder="1" applyAlignment="1">
      <alignment horizontal="center"/>
    </xf>
    <xf numFmtId="0" fontId="2" fillId="8" borderId="1" xfId="0" quotePrefix="1" applyNumberFormat="1" applyFont="1" applyFill="1" applyBorder="1"/>
    <xf numFmtId="0" fontId="2" fillId="8" borderId="1" xfId="0" quotePrefix="1" applyNumberFormat="1" applyFont="1" applyFill="1" applyBorder="1" applyAlignment="1">
      <alignment horizontal="center"/>
    </xf>
    <xf numFmtId="187" fontId="2" fillId="8" borderId="1" xfId="1" applyNumberFormat="1" applyFont="1" applyFill="1" applyBorder="1" applyAlignment="1">
      <alignment horizontal="center"/>
    </xf>
    <xf numFmtId="0" fontId="2" fillId="9" borderId="1" xfId="0" applyFont="1" applyFill="1" applyBorder="1"/>
    <xf numFmtId="0" fontId="2" fillId="9" borderId="1" xfId="0" quotePrefix="1" applyNumberFormat="1" applyFont="1" applyFill="1" applyBorder="1"/>
    <xf numFmtId="0" fontId="2" fillId="9" borderId="1" xfId="0" applyFont="1" applyFill="1" applyBorder="1" applyAlignment="1">
      <alignment horizontal="center"/>
    </xf>
    <xf numFmtId="0" fontId="2" fillId="9" borderId="1" xfId="0" quotePrefix="1" applyNumberFormat="1" applyFont="1" applyFill="1" applyBorder="1" applyAlignment="1">
      <alignment horizontal="center"/>
    </xf>
    <xf numFmtId="0" fontId="2" fillId="10" borderId="1" xfId="0" quotePrefix="1" applyNumberFormat="1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2" fillId="11" borderId="1" xfId="0" quotePrefix="1" applyNumberFormat="1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187" fontId="2" fillId="9" borderId="1" xfId="1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2" borderId="1" xfId="0" quotePrefix="1" applyNumberFormat="1" applyFont="1" applyFill="1" applyBorder="1"/>
    <xf numFmtId="0" fontId="2" fillId="0" borderId="0" xfId="0" applyFont="1" applyBorder="1" applyAlignment="1">
      <alignment horizontal="center"/>
    </xf>
    <xf numFmtId="0" fontId="2" fillId="2" borderId="1" xfId="0" applyFont="1" applyFill="1" applyBorder="1"/>
    <xf numFmtId="0" fontId="3" fillId="5" borderId="1" xfId="0" applyFont="1" applyFill="1" applyBorder="1"/>
    <xf numFmtId="0" fontId="3" fillId="5" borderId="1" xfId="0" applyFont="1" applyFill="1" applyBorder="1" applyAlignment="1">
      <alignment horizontal="center"/>
    </xf>
    <xf numFmtId="0" fontId="0" fillId="3" borderId="1" xfId="0" quotePrefix="1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quotePrefix="1" applyNumberFormat="1" applyFill="1" applyBorder="1" applyAlignment="1">
      <alignment horizontal="center"/>
    </xf>
    <xf numFmtId="0" fontId="2" fillId="12" borderId="1" xfId="0" quotePrefix="1" applyNumberFormat="1" applyFont="1" applyFill="1" applyBorder="1"/>
    <xf numFmtId="0" fontId="2" fillId="12" borderId="1" xfId="0" applyFont="1" applyFill="1" applyBorder="1"/>
    <xf numFmtId="0" fontId="2" fillId="4" borderId="1" xfId="0" quotePrefix="1" applyNumberFormat="1" applyFont="1" applyFill="1" applyBorder="1"/>
    <xf numFmtId="0" fontId="2" fillId="4" borderId="1" xfId="0" applyFont="1" applyFill="1" applyBorder="1"/>
    <xf numFmtId="0" fontId="2" fillId="13" borderId="1" xfId="0" quotePrefix="1" applyNumberFormat="1" applyFont="1" applyFill="1" applyBorder="1"/>
    <xf numFmtId="0" fontId="2" fillId="13" borderId="1" xfId="0" applyFont="1" applyFill="1" applyBorder="1"/>
    <xf numFmtId="187" fontId="2" fillId="12" borderId="1" xfId="1" applyNumberFormat="1" applyFont="1" applyFill="1" applyBorder="1"/>
    <xf numFmtId="0" fontId="2" fillId="5" borderId="1" xfId="0" applyFont="1" applyFill="1" applyBorder="1" applyAlignment="1">
      <alignment horizontal="center"/>
    </xf>
    <xf numFmtId="0" fontId="2" fillId="10" borderId="0" xfId="0" applyFont="1" applyFill="1"/>
    <xf numFmtId="0" fontId="2" fillId="12" borderId="0" xfId="0" applyFont="1" applyFill="1"/>
    <xf numFmtId="0" fontId="2" fillId="12" borderId="0" xfId="0" applyFont="1" applyFill="1" applyAlignment="1">
      <alignment horizontal="center"/>
    </xf>
    <xf numFmtId="187" fontId="2" fillId="0" borderId="0" xfId="1" applyNumberFormat="1" applyFont="1" applyAlignment="1">
      <alignment horizontal="center"/>
    </xf>
    <xf numFmtId="187" fontId="2" fillId="12" borderId="0" xfId="1" applyNumberFormat="1" applyFont="1" applyFill="1" applyAlignment="1">
      <alignment horizontal="center"/>
    </xf>
    <xf numFmtId="187" fontId="2" fillId="4" borderId="0" xfId="1" quotePrefix="1" applyNumberFormat="1" applyFont="1" applyFill="1" applyAlignment="1">
      <alignment horizontal="center"/>
    </xf>
    <xf numFmtId="187" fontId="2" fillId="4" borderId="0" xfId="1" applyNumberFormat="1" applyFont="1" applyFill="1" applyAlignment="1">
      <alignment horizontal="center"/>
    </xf>
    <xf numFmtId="0" fontId="2" fillId="13" borderId="0" xfId="0" quotePrefix="1" applyNumberFormat="1" applyFont="1" applyFill="1"/>
    <xf numFmtId="187" fontId="2" fillId="13" borderId="0" xfId="1" quotePrefix="1" applyNumberFormat="1" applyFont="1" applyFill="1" applyAlignment="1">
      <alignment horizontal="center"/>
    </xf>
    <xf numFmtId="0" fontId="2" fillId="13" borderId="0" xfId="0" applyFont="1" applyFill="1"/>
    <xf numFmtId="187" fontId="2" fillId="13" borderId="0" xfId="1" applyNumberFormat="1" applyFont="1" applyFill="1" applyAlignment="1">
      <alignment horizontal="center"/>
    </xf>
    <xf numFmtId="0" fontId="2" fillId="7" borderId="0" xfId="0" quotePrefix="1" applyNumberFormat="1" applyFont="1" applyFill="1"/>
    <xf numFmtId="0" fontId="2" fillId="7" borderId="0" xfId="0" applyFont="1" applyFill="1"/>
    <xf numFmtId="0" fontId="2" fillId="3" borderId="0" xfId="0" applyFont="1" applyFill="1"/>
    <xf numFmtId="0" fontId="2" fillId="11" borderId="0" xfId="0" applyFont="1" applyFill="1"/>
    <xf numFmtId="0" fontId="2" fillId="9" borderId="0" xfId="0" applyFont="1" applyFill="1"/>
    <xf numFmtId="187" fontId="2" fillId="9" borderId="0" xfId="1" applyNumberFormat="1" applyFont="1" applyFill="1" applyAlignment="1">
      <alignment horizontal="center"/>
    </xf>
    <xf numFmtId="0" fontId="2" fillId="0" borderId="1" xfId="0" applyFont="1" applyBorder="1"/>
    <xf numFmtId="187" fontId="2" fillId="12" borderId="1" xfId="1" applyNumberFormat="1" applyFont="1" applyFill="1" applyBorder="1" applyAlignment="1">
      <alignment horizontal="center"/>
    </xf>
    <xf numFmtId="0" fontId="2" fillId="2" borderId="0" xfId="0" applyFont="1" applyFill="1"/>
    <xf numFmtId="0" fontId="2" fillId="5" borderId="0" xfId="0" applyFont="1" applyFill="1"/>
    <xf numFmtId="187" fontId="2" fillId="5" borderId="1" xfId="0" applyNumberFormat="1" applyFont="1" applyFill="1" applyBorder="1"/>
    <xf numFmtId="0" fontId="2" fillId="5" borderId="0" xfId="0" applyFont="1" applyFill="1" applyBorder="1"/>
    <xf numFmtId="0" fontId="2" fillId="3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187" fontId="2" fillId="5" borderId="0" xfId="1" applyNumberFormat="1" applyFont="1" applyFill="1" applyAlignment="1">
      <alignment horizontal="center"/>
    </xf>
    <xf numFmtId="0" fontId="2" fillId="3" borderId="0" xfId="0" quotePrefix="1" applyNumberFormat="1" applyFont="1" applyFill="1" applyAlignment="1">
      <alignment horizontal="center"/>
    </xf>
    <xf numFmtId="0" fontId="2" fillId="2" borderId="0" xfId="0" quotePrefix="1" applyNumberFormat="1" applyFont="1" applyFill="1" applyAlignment="1">
      <alignment horizontal="center"/>
    </xf>
    <xf numFmtId="187" fontId="2" fillId="5" borderId="1" xfId="0" applyNumberFormat="1" applyFont="1" applyFill="1" applyBorder="1" applyAlignment="1">
      <alignment horizontal="center"/>
    </xf>
    <xf numFmtId="0" fontId="2" fillId="14" borderId="0" xfId="0" applyFont="1" applyFill="1" applyAlignment="1">
      <alignment horizontal="center"/>
    </xf>
    <xf numFmtId="0" fontId="2" fillId="15" borderId="0" xfId="0" applyFont="1" applyFill="1" applyBorder="1" applyAlignment="1">
      <alignment horizontal="center"/>
    </xf>
    <xf numFmtId="0" fontId="0" fillId="10" borderId="0" xfId="0" quotePrefix="1" applyNumberFormat="1" applyFill="1"/>
    <xf numFmtId="0" fontId="0" fillId="11" borderId="0" xfId="0" quotePrefix="1" applyNumberFormat="1" applyFill="1"/>
    <xf numFmtId="187" fontId="2" fillId="0" borderId="0" xfId="1" applyNumberFormat="1" applyFont="1"/>
    <xf numFmtId="187" fontId="0" fillId="0" borderId="0" xfId="1" quotePrefix="1" applyNumberFormat="1" applyFont="1"/>
    <xf numFmtId="187" fontId="1" fillId="3" borderId="0" xfId="1" quotePrefix="1" applyNumberFormat="1" applyFont="1" applyFill="1"/>
    <xf numFmtId="187" fontId="2" fillId="3" borderId="0" xfId="1" applyNumberFormat="1" applyFont="1" applyFill="1"/>
    <xf numFmtId="187" fontId="1" fillId="2" borderId="0" xfId="1" quotePrefix="1" applyNumberFormat="1" applyFont="1" applyFill="1"/>
    <xf numFmtId="187" fontId="2" fillId="2" borderId="0" xfId="1" applyNumberFormat="1" applyFont="1" applyFill="1"/>
    <xf numFmtId="0" fontId="0" fillId="7" borderId="0" xfId="0" quotePrefix="1" applyNumberFormat="1" applyFill="1"/>
    <xf numFmtId="187" fontId="1" fillId="7" borderId="0" xfId="1" quotePrefix="1" applyNumberFormat="1" applyFont="1" applyFill="1"/>
    <xf numFmtId="187" fontId="2" fillId="7" borderId="0" xfId="1" applyNumberFormat="1" applyFont="1" applyFill="1"/>
    <xf numFmtId="187" fontId="1" fillId="10" borderId="0" xfId="1" quotePrefix="1" applyNumberFormat="1" applyFont="1" applyFill="1"/>
    <xf numFmtId="187" fontId="2" fillId="10" borderId="0" xfId="1" applyNumberFormat="1" applyFont="1" applyFill="1"/>
    <xf numFmtId="187" fontId="2" fillId="5" borderId="0" xfId="1" applyNumberFormat="1" applyFont="1" applyFill="1"/>
    <xf numFmtId="187" fontId="2" fillId="5" borderId="1" xfId="1" applyNumberFormat="1" applyFont="1" applyFill="1" applyBorder="1"/>
    <xf numFmtId="0" fontId="2" fillId="5" borderId="0" xfId="0" applyFont="1" applyFill="1" applyAlignment="1">
      <alignment horizontal="center"/>
    </xf>
    <xf numFmtId="187" fontId="2" fillId="0" borderId="0" xfId="0" applyNumberFormat="1" applyFont="1" applyAlignment="1">
      <alignment horizontal="center"/>
    </xf>
    <xf numFmtId="187" fontId="2" fillId="14" borderId="0" xfId="1" applyNumberFormat="1" applyFont="1" applyFill="1" applyAlignment="1">
      <alignment horizontal="center"/>
    </xf>
    <xf numFmtId="187" fontId="0" fillId="0" borderId="0" xfId="1" applyNumberFormat="1" applyFont="1"/>
    <xf numFmtId="187" fontId="1" fillId="3" borderId="0" xfId="1" applyNumberFormat="1" applyFont="1" applyFill="1"/>
    <xf numFmtId="187" fontId="1" fillId="2" borderId="0" xfId="1" applyNumberFormat="1" applyFont="1" applyFill="1"/>
    <xf numFmtId="187" fontId="1" fillId="11" borderId="0" xfId="1" quotePrefix="1" applyNumberFormat="1" applyFont="1" applyFill="1"/>
    <xf numFmtId="0" fontId="0" fillId="5" borderId="0" xfId="0" applyFill="1"/>
    <xf numFmtId="187" fontId="1" fillId="5" borderId="0" xfId="1" applyNumberFormat="1" applyFont="1" applyFill="1"/>
    <xf numFmtId="0" fontId="3" fillId="5" borderId="0" xfId="0" applyFont="1" applyFill="1"/>
    <xf numFmtId="0" fontId="2" fillId="8" borderId="0" xfId="0" applyFont="1" applyFill="1" applyAlignment="1">
      <alignment horizontal="center"/>
    </xf>
    <xf numFmtId="187" fontId="2" fillId="8" borderId="0" xfId="1" applyNumberFormat="1" applyFont="1" applyFill="1" applyAlignment="1">
      <alignment horizontal="center"/>
    </xf>
    <xf numFmtId="0" fontId="2" fillId="8" borderId="0" xfId="0" applyFont="1" applyFill="1"/>
    <xf numFmtId="187" fontId="2" fillId="8" borderId="0" xfId="1" applyNumberFormat="1" applyFont="1" applyFill="1"/>
    <xf numFmtId="0" fontId="0" fillId="6" borderId="0" xfId="0" quotePrefix="1" applyNumberFormat="1" applyFill="1"/>
    <xf numFmtId="187" fontId="1" fillId="6" borderId="0" xfId="1" quotePrefix="1" applyNumberFormat="1" applyFont="1" applyFill="1"/>
    <xf numFmtId="0" fontId="2" fillId="6" borderId="0" xfId="0" applyFont="1" applyFill="1"/>
    <xf numFmtId="187" fontId="2" fillId="6" borderId="0" xfId="1" applyNumberFormat="1" applyFont="1" applyFill="1"/>
    <xf numFmtId="187" fontId="2" fillId="7" borderId="0" xfId="1" quotePrefix="1" applyNumberFormat="1" applyFont="1" applyFill="1"/>
    <xf numFmtId="0" fontId="2" fillId="6" borderId="0" xfId="0" quotePrefix="1" applyNumberFormat="1" applyFont="1" applyFill="1"/>
    <xf numFmtId="187" fontId="2" fillId="6" borderId="0" xfId="1" quotePrefix="1" applyNumberFormat="1" applyFont="1" applyFill="1"/>
    <xf numFmtId="0" fontId="2" fillId="9" borderId="0" xfId="0" applyFont="1" applyFill="1" applyAlignment="1">
      <alignment horizontal="center"/>
    </xf>
    <xf numFmtId="187" fontId="2" fillId="9" borderId="0" xfId="1" applyNumberFormat="1" applyFont="1" applyFill="1"/>
    <xf numFmtId="187" fontId="2" fillId="11" borderId="0" xfId="1" applyNumberFormat="1" applyFont="1" applyFill="1"/>
    <xf numFmtId="187" fontId="2" fillId="2" borderId="0" xfId="1" quotePrefix="1" applyNumberFormat="1" applyFont="1" applyFill="1"/>
    <xf numFmtId="187" fontId="2" fillId="3" borderId="0" xfId="1" quotePrefix="1" applyNumberFormat="1" applyFont="1" applyFill="1"/>
    <xf numFmtId="0" fontId="2" fillId="10" borderId="0" xfId="0" quotePrefix="1" applyNumberFormat="1" applyFont="1" applyFill="1"/>
    <xf numFmtId="187" fontId="2" fillId="10" borderId="0" xfId="1" quotePrefix="1" applyNumberFormat="1" applyFont="1" applyFill="1"/>
    <xf numFmtId="0" fontId="2" fillId="5" borderId="0" xfId="0" quotePrefix="1" applyNumberFormat="1" applyFont="1" applyFill="1"/>
    <xf numFmtId="0" fontId="2" fillId="17" borderId="0" xfId="0" quotePrefix="1" applyNumberFormat="1" applyFont="1" applyFill="1"/>
    <xf numFmtId="187" fontId="2" fillId="17" borderId="0" xfId="1" quotePrefix="1" applyNumberFormat="1" applyFont="1" applyFill="1"/>
    <xf numFmtId="0" fontId="2" fillId="9" borderId="0" xfId="0" quotePrefix="1" applyNumberFormat="1" applyFont="1" applyFill="1"/>
    <xf numFmtId="0" fontId="2" fillId="18" borderId="0" xfId="0" quotePrefix="1" applyNumberFormat="1" applyFont="1" applyFill="1"/>
    <xf numFmtId="187" fontId="2" fillId="18" borderId="0" xfId="1" quotePrefix="1" applyNumberFormat="1" applyFont="1" applyFill="1"/>
    <xf numFmtId="187" fontId="4" fillId="18" borderId="3" xfId="1" quotePrefix="1" applyNumberFormat="1" applyFont="1" applyFill="1" applyBorder="1"/>
    <xf numFmtId="0" fontId="2" fillId="11" borderId="0" xfId="0" quotePrefix="1" applyNumberFormat="1" applyFont="1" applyFill="1"/>
    <xf numFmtId="187" fontId="2" fillId="11" borderId="0" xfId="1" quotePrefix="1" applyNumberFormat="1" applyFont="1" applyFill="1"/>
    <xf numFmtId="187" fontId="4" fillId="11" borderId="3" xfId="1" quotePrefix="1" applyNumberFormat="1" applyFont="1" applyFill="1" applyBorder="1"/>
    <xf numFmtId="187" fontId="2" fillId="18" borderId="3" xfId="1" quotePrefix="1" applyNumberFormat="1" applyFont="1" applyFill="1" applyBorder="1"/>
    <xf numFmtId="187" fontId="2" fillId="11" borderId="3" xfId="1" applyNumberFormat="1" applyFont="1" applyFill="1" applyBorder="1"/>
    <xf numFmtId="0" fontId="2" fillId="9" borderId="3" xfId="0" quotePrefix="1" applyNumberFormat="1" applyFont="1" applyFill="1" applyBorder="1"/>
    <xf numFmtId="187" fontId="4" fillId="9" borderId="3" xfId="1" quotePrefix="1" applyNumberFormat="1" applyFont="1" applyFill="1" applyBorder="1"/>
    <xf numFmtId="187" fontId="4" fillId="3" borderId="3" xfId="1" quotePrefix="1" applyNumberFormat="1" applyFont="1" applyFill="1" applyBorder="1"/>
    <xf numFmtId="187" fontId="4" fillId="2" borderId="3" xfId="1" quotePrefix="1" applyNumberFormat="1" applyFont="1" applyFill="1" applyBorder="1"/>
    <xf numFmtId="187" fontId="4" fillId="3" borderId="3" xfId="1" applyNumberFormat="1" applyFont="1" applyFill="1" applyBorder="1"/>
    <xf numFmtId="187" fontId="2" fillId="2" borderId="7" xfId="1" quotePrefix="1" applyNumberFormat="1" applyFont="1" applyFill="1" applyBorder="1"/>
    <xf numFmtId="187" fontId="4" fillId="5" borderId="3" xfId="1" quotePrefix="1" applyNumberFormat="1" applyFont="1" applyFill="1" applyBorder="1"/>
    <xf numFmtId="187" fontId="4" fillId="10" borderId="3" xfId="1" quotePrefix="1" applyNumberFormat="1" applyFont="1" applyFill="1" applyBorder="1"/>
    <xf numFmtId="0" fontId="4" fillId="9" borderId="3" xfId="0" quotePrefix="1" applyNumberFormat="1" applyFont="1" applyFill="1" applyBorder="1"/>
    <xf numFmtId="0" fontId="4" fillId="5" borderId="3" xfId="0" quotePrefix="1" applyNumberFormat="1" applyFont="1" applyFill="1" applyBorder="1"/>
    <xf numFmtId="187" fontId="4" fillId="18" borderId="7" xfId="1" quotePrefix="1" applyNumberFormat="1" applyFont="1" applyFill="1" applyBorder="1"/>
    <xf numFmtId="187" fontId="4" fillId="3" borderId="7" xfId="1" quotePrefix="1" applyNumberFormat="1" applyFont="1" applyFill="1" applyBorder="1"/>
    <xf numFmtId="0" fontId="2" fillId="11" borderId="0" xfId="0" quotePrefix="1" applyNumberFormat="1" applyFont="1" applyFill="1" applyBorder="1"/>
    <xf numFmtId="187" fontId="2" fillId="11" borderId="0" xfId="1" quotePrefix="1" applyNumberFormat="1" applyFont="1" applyFill="1" applyBorder="1"/>
    <xf numFmtId="187" fontId="4" fillId="10" borderId="7" xfId="1" quotePrefix="1" applyNumberFormat="1" applyFont="1" applyFill="1" applyBorder="1"/>
    <xf numFmtId="187" fontId="4" fillId="2" borderId="7" xfId="1" quotePrefix="1" applyNumberFormat="1" applyFont="1" applyFill="1" applyBorder="1"/>
    <xf numFmtId="187" fontId="4" fillId="10" borderId="3" xfId="1" applyNumberFormat="1" applyFont="1" applyFill="1" applyBorder="1"/>
    <xf numFmtId="0" fontId="4" fillId="9" borderId="3" xfId="0" applyFont="1" applyFill="1" applyBorder="1"/>
    <xf numFmtId="187" fontId="4" fillId="9" borderId="3" xfId="1" applyNumberFormat="1" applyFont="1" applyFill="1" applyBorder="1"/>
    <xf numFmtId="187" fontId="2" fillId="12" borderId="0" xfId="1" applyNumberFormat="1" applyFont="1" applyFill="1"/>
    <xf numFmtId="187" fontId="2" fillId="12" borderId="1" xfId="1" quotePrefix="1" applyNumberFormat="1" applyFont="1" applyFill="1" applyBorder="1"/>
    <xf numFmtId="187" fontId="2" fillId="0" borderId="0" xfId="0" applyNumberFormat="1" applyFont="1"/>
    <xf numFmtId="0" fontId="2" fillId="5" borderId="1" xfId="0" applyFont="1" applyFill="1" applyBorder="1" applyAlignment="1">
      <alignment horizontal="center"/>
    </xf>
    <xf numFmtId="0" fontId="2" fillId="4" borderId="0" xfId="0" applyFont="1" applyFill="1" applyAlignment="1">
      <alignment horizontal="left"/>
    </xf>
    <xf numFmtId="187" fontId="2" fillId="5" borderId="0" xfId="1" quotePrefix="1" applyNumberFormat="1" applyFont="1" applyFill="1"/>
    <xf numFmtId="0" fontId="2" fillId="0" borderId="0" xfId="0" applyFont="1" applyAlignment="1">
      <alignment horizontal="center"/>
    </xf>
    <xf numFmtId="188" fontId="0" fillId="0" borderId="0" xfId="1" applyNumberFormat="1" applyFont="1" applyAlignment="1">
      <alignment horizontal="center"/>
    </xf>
    <xf numFmtId="43" fontId="0" fillId="0" borderId="0" xfId="1" applyFont="1"/>
    <xf numFmtId="43" fontId="2" fillId="0" borderId="0" xfId="1" applyFont="1"/>
    <xf numFmtId="188" fontId="2" fillId="3" borderId="1" xfId="1" applyNumberFormat="1" applyFont="1" applyFill="1" applyBorder="1" applyAlignment="1">
      <alignment horizontal="center" vertical="center"/>
    </xf>
    <xf numFmtId="43" fontId="2" fillId="7" borderId="1" xfId="1" applyFont="1" applyFill="1" applyBorder="1" applyAlignment="1">
      <alignment horizontal="center" vertical="center"/>
    </xf>
    <xf numFmtId="43" fontId="2" fillId="20" borderId="1" xfId="1" applyFont="1" applyFill="1" applyBorder="1" applyAlignment="1">
      <alignment horizontal="center" vertical="center"/>
    </xf>
    <xf numFmtId="188" fontId="2" fillId="0" borderId="1" xfId="1" applyNumberFormat="1" applyFont="1" applyFill="1" applyBorder="1" applyAlignment="1">
      <alignment horizontal="center"/>
    </xf>
    <xf numFmtId="188" fontId="2" fillId="0" borderId="1" xfId="1" applyNumberFormat="1" applyFont="1" applyBorder="1" applyAlignment="1">
      <alignment horizontal="center"/>
    </xf>
    <xf numFmtId="43" fontId="2" fillId="21" borderId="0" xfId="1" applyFont="1" applyFill="1"/>
    <xf numFmtId="0" fontId="1" fillId="0" borderId="0" xfId="2"/>
    <xf numFmtId="0" fontId="1" fillId="0" borderId="0" xfId="2" applyAlignment="1">
      <alignment horizontal="center"/>
    </xf>
    <xf numFmtId="0" fontId="2" fillId="0" borderId="0" xfId="2" applyFont="1"/>
    <xf numFmtId="0" fontId="2" fillId="3" borderId="1" xfId="2" applyFont="1" applyFill="1" applyBorder="1" applyAlignment="1">
      <alignment horizontal="center"/>
    </xf>
    <xf numFmtId="0" fontId="2" fillId="7" borderId="1" xfId="2" applyFont="1" applyFill="1" applyBorder="1" applyAlignment="1">
      <alignment horizontal="center"/>
    </xf>
    <xf numFmtId="0" fontId="2" fillId="20" borderId="1" xfId="2" applyFont="1" applyFill="1" applyBorder="1" applyAlignment="1">
      <alignment horizontal="center"/>
    </xf>
    <xf numFmtId="0" fontId="2" fillId="0" borderId="0" xfId="2" applyFont="1" applyAlignment="1">
      <alignment horizontal="center"/>
    </xf>
    <xf numFmtId="0" fontId="2" fillId="13" borderId="1" xfId="2" quotePrefix="1" applyNumberFormat="1" applyFont="1" applyFill="1" applyBorder="1"/>
    <xf numFmtId="0" fontId="2" fillId="21" borderId="1" xfId="2" applyFont="1" applyFill="1" applyBorder="1" applyAlignment="1">
      <alignment horizontal="center"/>
    </xf>
    <xf numFmtId="0" fontId="2" fillId="0" borderId="1" xfId="2" applyFont="1" applyFill="1" applyBorder="1" applyAlignment="1">
      <alignment horizontal="center"/>
    </xf>
    <xf numFmtId="43" fontId="2" fillId="0" borderId="0" xfId="2" applyNumberFormat="1" applyFont="1"/>
    <xf numFmtId="0" fontId="2" fillId="4" borderId="1" xfId="2" quotePrefix="1" applyNumberFormat="1" applyFont="1" applyFill="1" applyBorder="1"/>
    <xf numFmtId="0" fontId="2" fillId="6" borderId="1" xfId="2" quotePrefix="1" applyNumberFormat="1" applyFont="1" applyFill="1" applyBorder="1"/>
    <xf numFmtId="0" fontId="2" fillId="7" borderId="1" xfId="2" quotePrefix="1" applyNumberFormat="1" applyFont="1" applyFill="1" applyBorder="1"/>
    <xf numFmtId="0" fontId="2" fillId="2" borderId="1" xfId="2" quotePrefix="1" applyNumberFormat="1" applyFont="1" applyFill="1" applyBorder="1"/>
    <xf numFmtId="188" fontId="2" fillId="2" borderId="1" xfId="1" quotePrefix="1" applyNumberFormat="1" applyFont="1" applyFill="1" applyBorder="1" applyAlignment="1">
      <alignment horizontal="center"/>
    </xf>
    <xf numFmtId="0" fontId="2" fillId="3" borderId="1" xfId="2" quotePrefix="1" applyNumberFormat="1" applyFont="1" applyFill="1" applyBorder="1"/>
    <xf numFmtId="188" fontId="2" fillId="3" borderId="1" xfId="1" quotePrefix="1" applyNumberFormat="1" applyFont="1" applyFill="1" applyBorder="1" applyAlignment="1">
      <alignment horizontal="center"/>
    </xf>
    <xf numFmtId="189" fontId="2" fillId="0" borderId="0" xfId="1" applyNumberFormat="1" applyFont="1"/>
    <xf numFmtId="14" fontId="2" fillId="0" borderId="0" xfId="2" applyNumberFormat="1" applyFont="1"/>
    <xf numFmtId="0" fontId="7" fillId="0" borderId="0" xfId="2" applyFont="1"/>
    <xf numFmtId="0" fontId="7" fillId="6" borderId="1" xfId="2" quotePrefix="1" applyNumberFormat="1" applyFont="1" applyFill="1" applyBorder="1"/>
    <xf numFmtId="188" fontId="7" fillId="0" borderId="1" xfId="1" applyNumberFormat="1" applyFont="1" applyFill="1" applyBorder="1" applyAlignment="1">
      <alignment horizontal="center"/>
    </xf>
    <xf numFmtId="43" fontId="7" fillId="0" borderId="1" xfId="2" applyNumberFormat="1" applyFont="1" applyBorder="1"/>
    <xf numFmtId="0" fontId="7" fillId="7" borderId="1" xfId="2" quotePrefix="1" applyNumberFormat="1" applyFont="1" applyFill="1" applyBorder="1"/>
    <xf numFmtId="188" fontId="7" fillId="7" borderId="1" xfId="1" quotePrefix="1" applyNumberFormat="1" applyFont="1" applyFill="1" applyBorder="1" applyAlignment="1">
      <alignment horizontal="center"/>
    </xf>
    <xf numFmtId="0" fontId="2" fillId="10" borderId="1" xfId="2" quotePrefix="1" applyNumberFormat="1" applyFont="1" applyFill="1" applyBorder="1"/>
    <xf numFmtId="0" fontId="2" fillId="11" borderId="1" xfId="2" quotePrefix="1" applyNumberFormat="1" applyFont="1" applyFill="1" applyBorder="1"/>
    <xf numFmtId="0" fontId="1" fillId="0" borderId="0" xfId="2" applyFill="1" applyAlignment="1">
      <alignment horizontal="center"/>
    </xf>
    <xf numFmtId="0" fontId="8" fillId="14" borderId="1" xfId="2" applyFont="1" applyFill="1" applyBorder="1" applyAlignment="1">
      <alignment horizontal="center"/>
    </xf>
    <xf numFmtId="0" fontId="8" fillId="0" borderId="1" xfId="2" applyFont="1" applyFill="1" applyBorder="1" applyAlignment="1">
      <alignment horizontal="center"/>
    </xf>
    <xf numFmtId="0" fontId="8" fillId="0" borderId="1" xfId="2" applyFont="1" applyBorder="1" applyAlignment="1">
      <alignment horizontal="center"/>
    </xf>
    <xf numFmtId="3" fontId="8" fillId="0" borderId="1" xfId="2" applyNumberFormat="1" applyFont="1" applyFill="1" applyBorder="1" applyAlignment="1">
      <alignment horizontal="center"/>
    </xf>
    <xf numFmtId="3" fontId="8" fillId="0" borderId="1" xfId="2" applyNumberFormat="1" applyFont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88" fontId="9" fillId="0" borderId="0" xfId="1" applyNumberFormat="1" applyFont="1" applyAlignment="1">
      <alignment horizontal="center"/>
    </xf>
    <xf numFmtId="187" fontId="2" fillId="4" borderId="2" xfId="1" quotePrefix="1" applyNumberFormat="1" applyFont="1" applyFill="1" applyBorder="1"/>
    <xf numFmtId="1" fontId="1" fillId="5" borderId="1" xfId="1" applyNumberFormat="1" applyFont="1" applyFill="1" applyBorder="1" applyAlignment="1">
      <alignment horizontal="center"/>
    </xf>
    <xf numFmtId="187" fontId="2" fillId="22" borderId="1" xfId="1" applyNumberFormat="1" applyFont="1" applyFill="1" applyBorder="1"/>
    <xf numFmtId="187" fontId="2" fillId="0" borderId="1" xfId="1" applyNumberFormat="1" applyFont="1" applyBorder="1"/>
    <xf numFmtId="187" fontId="2" fillId="22" borderId="1" xfId="1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6" fillId="10" borderId="8" xfId="2" applyFont="1" applyFill="1" applyBorder="1" applyAlignment="1">
      <alignment horizontal="center" vertical="center"/>
    </xf>
    <xf numFmtId="0" fontId="6" fillId="10" borderId="9" xfId="2" applyFont="1" applyFill="1" applyBorder="1" applyAlignment="1">
      <alignment horizontal="center" vertical="center"/>
    </xf>
    <xf numFmtId="0" fontId="2" fillId="5" borderId="9" xfId="2" applyFont="1" applyFill="1" applyBorder="1" applyAlignment="1">
      <alignment horizontal="center" vertical="center"/>
    </xf>
    <xf numFmtId="0" fontId="2" fillId="0" borderId="1" xfId="0" quotePrefix="1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3" fontId="0" fillId="0" borderId="0" xfId="0" applyNumberFormat="1" applyAlignment="1">
      <alignment horizontal="left"/>
    </xf>
    <xf numFmtId="43" fontId="0" fillId="0" borderId="0" xfId="0" applyNumberFormat="1"/>
    <xf numFmtId="190" fontId="0" fillId="0" borderId="0" xfId="0" applyNumberFormat="1" applyAlignment="1">
      <alignment horizontal="left"/>
    </xf>
    <xf numFmtId="0" fontId="10" fillId="0" borderId="0" xfId="0" applyFont="1"/>
    <xf numFmtId="188" fontId="2" fillId="22" borderId="1" xfId="1" quotePrefix="1" applyNumberFormat="1" applyFont="1" applyFill="1" applyBorder="1" applyAlignment="1">
      <alignment horizontal="center"/>
    </xf>
    <xf numFmtId="188" fontId="2" fillId="22" borderId="1" xfId="1" applyNumberFormat="1" applyFont="1" applyFill="1" applyBorder="1" applyAlignment="1">
      <alignment horizontal="center"/>
    </xf>
    <xf numFmtId="0" fontId="2" fillId="5" borderId="9" xfId="2" applyFont="1" applyFill="1" applyBorder="1" applyAlignment="1">
      <alignment horizontal="center" vertical="center"/>
    </xf>
    <xf numFmtId="0" fontId="2" fillId="22" borderId="1" xfId="0" quotePrefix="1" applyNumberFormat="1" applyFont="1" applyFill="1" applyBorder="1" applyAlignment="1">
      <alignment horizontal="center"/>
    </xf>
    <xf numFmtId="0" fontId="2" fillId="22" borderId="1" xfId="0" applyFont="1" applyFill="1" applyBorder="1" applyAlignment="1">
      <alignment horizontal="center"/>
    </xf>
    <xf numFmtId="0" fontId="2" fillId="22" borderId="1" xfId="0" quotePrefix="1" applyNumberFormat="1" applyFont="1" applyFill="1" applyBorder="1"/>
    <xf numFmtId="188" fontId="2" fillId="0" borderId="0" xfId="1" applyNumberFormat="1" applyFont="1" applyAlignment="1">
      <alignment horizontal="center"/>
    </xf>
    <xf numFmtId="0" fontId="2" fillId="0" borderId="0" xfId="2" applyFont="1" applyFill="1" applyAlignment="1">
      <alignment horizontal="center"/>
    </xf>
    <xf numFmtId="0" fontId="12" fillId="14" borderId="1" xfId="2" applyFont="1" applyFill="1" applyBorder="1" applyAlignment="1">
      <alignment horizontal="center"/>
    </xf>
    <xf numFmtId="0" fontId="12" fillId="0" borderId="1" xfId="2" applyFont="1" applyFill="1" applyBorder="1" applyAlignment="1">
      <alignment horizontal="center"/>
    </xf>
    <xf numFmtId="3" fontId="12" fillId="0" borderId="1" xfId="2" applyNumberFormat="1" applyFont="1" applyBorder="1" applyAlignment="1">
      <alignment horizontal="center"/>
    </xf>
    <xf numFmtId="3" fontId="12" fillId="0" borderId="1" xfId="2" applyNumberFormat="1" applyFont="1" applyFill="1" applyBorder="1" applyAlignment="1">
      <alignment horizontal="center"/>
    </xf>
    <xf numFmtId="188" fontId="2" fillId="2" borderId="1" xfId="1" quotePrefix="1" applyNumberFormat="1" applyFont="1" applyFill="1" applyBorder="1" applyAlignment="1">
      <alignment horizontal="right"/>
    </xf>
    <xf numFmtId="0" fontId="0" fillId="22" borderId="0" xfId="0" applyNumberFormat="1" applyFill="1"/>
    <xf numFmtId="43" fontId="2" fillId="22" borderId="0" xfId="1" applyFont="1" applyFill="1"/>
    <xf numFmtId="0" fontId="13" fillId="0" borderId="0" xfId="0" applyFont="1"/>
    <xf numFmtId="0" fontId="13" fillId="0" borderId="0" xfId="0" applyFont="1" applyAlignment="1">
      <alignment horizontal="center"/>
    </xf>
    <xf numFmtId="43" fontId="13" fillId="0" borderId="0" xfId="1" applyFont="1" applyAlignment="1">
      <alignment horizontal="center"/>
    </xf>
    <xf numFmtId="0" fontId="13" fillId="0" borderId="0" xfId="0" applyFont="1" applyAlignment="1">
      <alignment horizontal="right"/>
    </xf>
    <xf numFmtId="43" fontId="14" fillId="0" borderId="0" xfId="1" applyFont="1"/>
    <xf numFmtId="191" fontId="14" fillId="0" borderId="0" xfId="0" applyNumberFormat="1" applyFont="1"/>
    <xf numFmtId="0" fontId="14" fillId="0" borderId="0" xfId="0" applyFont="1"/>
    <xf numFmtId="192" fontId="14" fillId="0" borderId="0" xfId="0" applyNumberFormat="1" applyFont="1"/>
    <xf numFmtId="0" fontId="14" fillId="0" borderId="0" xfId="0" applyFont="1" applyAlignment="1"/>
    <xf numFmtId="192" fontId="14" fillId="0" borderId="0" xfId="0" applyNumberFormat="1" applyFont="1" applyAlignment="1"/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6" fillId="24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5" fillId="20" borderId="1" xfId="0" applyFont="1" applyFill="1" applyBorder="1" applyAlignment="1">
      <alignment horizontal="center" vertical="center" wrapText="1"/>
    </xf>
    <xf numFmtId="0" fontId="4" fillId="24" borderId="2" xfId="0" applyFont="1" applyFill="1" applyBorder="1" applyAlignment="1">
      <alignment horizontal="center" vertical="center" wrapText="1"/>
    </xf>
    <xf numFmtId="0" fontId="4" fillId="20" borderId="2" xfId="0" applyFont="1" applyFill="1" applyBorder="1" applyAlignment="1">
      <alignment horizontal="center" vertical="center" wrapText="1"/>
    </xf>
    <xf numFmtId="0" fontId="13" fillId="20" borderId="2" xfId="0" applyFont="1" applyFill="1" applyBorder="1" applyAlignment="1">
      <alignment horizontal="center" vertical="center" wrapText="1"/>
    </xf>
    <xf numFmtId="0" fontId="13" fillId="7" borderId="11" xfId="0" applyFont="1" applyFill="1" applyBorder="1" applyAlignment="1">
      <alignment horizontal="center" vertical="center" wrapText="1"/>
    </xf>
    <xf numFmtId="43" fontId="13" fillId="23" borderId="1" xfId="1" applyFont="1" applyFill="1" applyBorder="1" applyAlignment="1">
      <alignment horizontal="center" vertical="center" wrapText="1"/>
    </xf>
    <xf numFmtId="0" fontId="13" fillId="23" borderId="1" xfId="0" applyFont="1" applyFill="1" applyBorder="1" applyAlignment="1">
      <alignment horizontal="center" vertical="center" wrapText="1"/>
    </xf>
    <xf numFmtId="193" fontId="13" fillId="22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14" fillId="0" borderId="1" xfId="0" applyNumberFormat="1" applyFont="1" applyBorder="1"/>
    <xf numFmtId="0" fontId="14" fillId="0" borderId="2" xfId="0" applyNumberFormat="1" applyFont="1" applyBorder="1" applyAlignment="1">
      <alignment horizontal="center"/>
    </xf>
    <xf numFmtId="43" fontId="14" fillId="0" borderId="2" xfId="1" applyFont="1" applyBorder="1"/>
    <xf numFmtId="189" fontId="14" fillId="0" borderId="2" xfId="1" applyNumberFormat="1" applyFont="1" applyBorder="1" applyAlignment="1">
      <alignment horizontal="center"/>
    </xf>
    <xf numFmtId="43" fontId="14" fillId="0" borderId="2" xfId="1" applyFont="1" applyBorder="1" applyAlignment="1">
      <alignment horizontal="center"/>
    </xf>
    <xf numFmtId="43" fontId="14" fillId="0" borderId="1" xfId="1" applyFont="1" applyBorder="1"/>
    <xf numFmtId="188" fontId="14" fillId="0" borderId="1" xfId="1" applyNumberFormat="1" applyFont="1" applyBorder="1" applyAlignment="1">
      <alignment horizontal="center"/>
    </xf>
    <xf numFmtId="43" fontId="14" fillId="11" borderId="2" xfId="1" applyFont="1" applyFill="1" applyBorder="1" applyAlignment="1">
      <alignment horizontal="center"/>
    </xf>
    <xf numFmtId="193" fontId="14" fillId="22" borderId="1" xfId="0" applyNumberFormat="1" applyFont="1" applyFill="1" applyBorder="1"/>
    <xf numFmtId="43" fontId="14" fillId="0" borderId="0" xfId="0" applyNumberFormat="1" applyFont="1"/>
    <xf numFmtId="187" fontId="14" fillId="0" borderId="0" xfId="1" applyNumberFormat="1" applyFont="1"/>
    <xf numFmtId="189" fontId="14" fillId="0" borderId="2" xfId="1" applyNumberFormat="1" applyFont="1" applyBorder="1"/>
    <xf numFmtId="43" fontId="14" fillId="11" borderId="0" xfId="1" applyFont="1" applyFill="1" applyBorder="1" applyAlignment="1">
      <alignment horizontal="center"/>
    </xf>
    <xf numFmtId="43" fontId="14" fillId="11" borderId="1" xfId="1" applyFont="1" applyFill="1" applyBorder="1" applyAlignment="1">
      <alignment horizontal="center"/>
    </xf>
    <xf numFmtId="43" fontId="14" fillId="0" borderId="1" xfId="0" applyNumberFormat="1" applyFont="1" applyBorder="1"/>
    <xf numFmtId="49" fontId="14" fillId="0" borderId="1" xfId="0" applyNumberFormat="1" applyFont="1" applyFill="1" applyBorder="1"/>
    <xf numFmtId="0" fontId="14" fillId="0" borderId="2" xfId="0" applyNumberFormat="1" applyFont="1" applyFill="1" applyBorder="1" applyAlignment="1">
      <alignment horizontal="center"/>
    </xf>
    <xf numFmtId="189" fontId="14" fillId="0" borderId="2" xfId="1" applyNumberFormat="1" applyFont="1" applyFill="1" applyBorder="1"/>
    <xf numFmtId="189" fontId="14" fillId="0" borderId="2" xfId="1" applyNumberFormat="1" applyFont="1" applyFill="1" applyBorder="1" applyAlignment="1">
      <alignment horizontal="center"/>
    </xf>
    <xf numFmtId="43" fontId="14" fillId="0" borderId="2" xfId="1" applyFont="1" applyFill="1" applyBorder="1" applyAlignment="1">
      <alignment horizontal="center"/>
    </xf>
    <xf numFmtId="43" fontId="14" fillId="0" borderId="1" xfId="1" applyFont="1" applyFill="1" applyBorder="1"/>
    <xf numFmtId="188" fontId="14" fillId="0" borderId="1" xfId="1" applyNumberFormat="1" applyFont="1" applyFill="1" applyBorder="1" applyAlignment="1">
      <alignment horizontal="center"/>
    </xf>
    <xf numFmtId="0" fontId="14" fillId="0" borderId="0" xfId="0" applyFont="1" applyFill="1"/>
    <xf numFmtId="43" fontId="14" fillId="0" borderId="0" xfId="1" applyFont="1" applyFill="1"/>
    <xf numFmtId="43" fontId="14" fillId="0" borderId="0" xfId="0" applyNumberFormat="1" applyFont="1" applyFill="1"/>
    <xf numFmtId="187" fontId="14" fillId="0" borderId="0" xfId="1" applyNumberFormat="1" applyFont="1" applyFill="1"/>
    <xf numFmtId="192" fontId="14" fillId="0" borderId="0" xfId="0" applyNumberFormat="1" applyFont="1" applyFill="1"/>
    <xf numFmtId="0" fontId="14" fillId="0" borderId="0" xfId="0" applyFont="1" applyAlignment="1">
      <alignment horizontal="center"/>
    </xf>
    <xf numFmtId="43" fontId="14" fillId="0" borderId="0" xfId="1" applyFont="1" applyAlignment="1">
      <alignment horizontal="center"/>
    </xf>
    <xf numFmtId="43" fontId="14" fillId="0" borderId="0" xfId="1" applyFont="1" applyBorder="1"/>
    <xf numFmtId="188" fontId="14" fillId="0" borderId="2" xfId="0" applyNumberFormat="1" applyFont="1" applyBorder="1" applyAlignment="1">
      <alignment horizontal="center"/>
    </xf>
    <xf numFmtId="0" fontId="18" fillId="0" borderId="0" xfId="2" applyFont="1"/>
    <xf numFmtId="0" fontId="18" fillId="0" borderId="0" xfId="2" applyFont="1" applyAlignment="1">
      <alignment horizontal="center"/>
    </xf>
    <xf numFmtId="43" fontId="18" fillId="0" borderId="0" xfId="2" applyNumberFormat="1" applyFont="1"/>
    <xf numFmtId="43" fontId="7" fillId="22" borderId="0" xfId="1" applyFont="1" applyFill="1" applyBorder="1"/>
    <xf numFmtId="4" fontId="2" fillId="0" borderId="0" xfId="2" applyNumberFormat="1" applyFont="1"/>
    <xf numFmtId="43" fontId="19" fillId="0" borderId="0" xfId="1" applyFont="1"/>
    <xf numFmtId="188" fontId="14" fillId="0" borderId="0" xfId="0" applyNumberFormat="1" applyFont="1"/>
    <xf numFmtId="22" fontId="16" fillId="0" borderId="0" xfId="0" applyNumberFormat="1" applyFont="1"/>
    <xf numFmtId="43" fontId="13" fillId="7" borderId="1" xfId="1" applyFont="1" applyFill="1" applyBorder="1" applyAlignment="1">
      <alignment horizontal="center" vertical="center" wrapText="1"/>
    </xf>
    <xf numFmtId="43" fontId="14" fillId="7" borderId="1" xfId="1" applyFont="1" applyFill="1" applyBorder="1"/>
    <xf numFmtId="193" fontId="20" fillId="25" borderId="1" xfId="3" applyNumberFormat="1" applyBorder="1"/>
    <xf numFmtId="43" fontId="22" fillId="26" borderId="1" xfId="4" applyNumberFormat="1" applyFont="1" applyBorder="1" applyAlignment="1">
      <alignment horizontal="center" vertical="center" wrapText="1"/>
    </xf>
    <xf numFmtId="191" fontId="14" fillId="22" borderId="0" xfId="0" applyNumberFormat="1" applyFont="1" applyFill="1"/>
    <xf numFmtId="193" fontId="2" fillId="0" borderId="0" xfId="2" applyNumberFormat="1" applyFont="1"/>
    <xf numFmtId="193" fontId="2" fillId="0" borderId="0" xfId="2" applyNumberFormat="1" applyFont="1" applyAlignment="1">
      <alignment horizontal="center"/>
    </xf>
    <xf numFmtId="193" fontId="23" fillId="27" borderId="0" xfId="5" applyNumberFormat="1"/>
    <xf numFmtId="193" fontId="19" fillId="0" borderId="0" xfId="2" applyNumberFormat="1" applyFont="1"/>
    <xf numFmtId="193" fontId="2" fillId="22" borderId="0" xfId="2" applyNumberFormat="1" applyFont="1" applyFill="1" applyAlignment="1">
      <alignment horizontal="center"/>
    </xf>
    <xf numFmtId="193" fontId="19" fillId="0" borderId="0" xfId="1" applyNumberFormat="1" applyFont="1"/>
    <xf numFmtId="193" fontId="2" fillId="22" borderId="0" xfId="2" applyNumberFormat="1" applyFont="1" applyFill="1"/>
    <xf numFmtId="193" fontId="7" fillId="0" borderId="0" xfId="2" applyNumberFormat="1" applyFont="1"/>
    <xf numFmtId="193" fontId="2" fillId="0" borderId="0" xfId="1" applyNumberFormat="1" applyFont="1"/>
    <xf numFmtId="193" fontId="1" fillId="0" borderId="0" xfId="2" applyNumberFormat="1"/>
    <xf numFmtId="193" fontId="2" fillId="7" borderId="0" xfId="2" applyNumberFormat="1" applyFont="1" applyFill="1"/>
    <xf numFmtId="0" fontId="2" fillId="12" borderId="1" xfId="0" applyFont="1" applyFill="1" applyBorder="1" applyAlignment="1">
      <alignment horizontal="center"/>
    </xf>
    <xf numFmtId="0" fontId="2" fillId="15" borderId="0" xfId="0" applyFont="1" applyFill="1" applyBorder="1" applyAlignment="1">
      <alignment horizontal="center"/>
    </xf>
    <xf numFmtId="0" fontId="2" fillId="12" borderId="2" xfId="0" applyFont="1" applyFill="1" applyBorder="1" applyAlignment="1">
      <alignment horizontal="center"/>
    </xf>
    <xf numFmtId="0" fontId="2" fillId="12" borderId="3" xfId="0" applyFont="1" applyFill="1" applyBorder="1" applyAlignment="1">
      <alignment horizontal="center"/>
    </xf>
    <xf numFmtId="0" fontId="2" fillId="12" borderId="4" xfId="0" applyFont="1" applyFill="1" applyBorder="1" applyAlignment="1">
      <alignment horizontal="center"/>
    </xf>
    <xf numFmtId="0" fontId="2" fillId="14" borderId="0" xfId="0" applyFont="1" applyFill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2" fillId="8" borderId="0" xfId="0" applyFont="1" applyFill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3" fillId="15" borderId="0" xfId="0" applyFont="1" applyFill="1" applyBorder="1" applyAlignment="1">
      <alignment horizontal="center"/>
    </xf>
    <xf numFmtId="0" fontId="0" fillId="15" borderId="0" xfId="0" applyFill="1" applyBorder="1" applyAlignment="1">
      <alignment horizontal="center"/>
    </xf>
    <xf numFmtId="0" fontId="1" fillId="15" borderId="0" xfId="0" applyFont="1" applyFill="1" applyBorder="1" applyAlignment="1">
      <alignment horizontal="center"/>
    </xf>
    <xf numFmtId="0" fontId="2" fillId="8" borderId="6" xfId="0" applyFont="1" applyFill="1" applyBorder="1" applyAlignment="1">
      <alignment horizontal="center"/>
    </xf>
    <xf numFmtId="0" fontId="2" fillId="9" borderId="0" xfId="0" applyFont="1" applyFill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3" fillId="9" borderId="6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3" fillId="8" borderId="6" xfId="0" applyFont="1" applyFill="1" applyBorder="1" applyAlignment="1">
      <alignment horizontal="center"/>
    </xf>
    <xf numFmtId="0" fontId="2" fillId="16" borderId="0" xfId="0" applyFont="1" applyFill="1" applyAlignment="1">
      <alignment horizontal="center"/>
    </xf>
    <xf numFmtId="0" fontId="2" fillId="18" borderId="3" xfId="0" quotePrefix="1" applyNumberFormat="1" applyFont="1" applyFill="1" applyBorder="1" applyAlignment="1">
      <alignment horizontal="center"/>
    </xf>
    <xf numFmtId="0" fontId="2" fillId="11" borderId="3" xfId="0" quotePrefix="1" applyNumberFormat="1" applyFont="1" applyFill="1" applyBorder="1" applyAlignment="1">
      <alignment horizontal="center"/>
    </xf>
    <xf numFmtId="0" fontId="2" fillId="11" borderId="3" xfId="0" applyFont="1" applyFill="1" applyBorder="1" applyAlignment="1">
      <alignment horizontal="center"/>
    </xf>
    <xf numFmtId="0" fontId="2" fillId="9" borderId="3" xfId="0" quotePrefix="1" applyNumberFormat="1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2" borderId="3" xfId="0" quotePrefix="1" applyNumberFormat="1" applyFont="1" applyFill="1" applyBorder="1" applyAlignment="1">
      <alignment horizontal="center"/>
    </xf>
    <xf numFmtId="0" fontId="4" fillId="3" borderId="3" xfId="0" quotePrefix="1" applyNumberFormat="1" applyFont="1" applyFill="1" applyBorder="1" applyAlignment="1">
      <alignment horizontal="center"/>
    </xf>
    <xf numFmtId="0" fontId="2" fillId="2" borderId="7" xfId="0" quotePrefix="1" applyNumberFormat="1" applyFont="1" applyFill="1" applyBorder="1" applyAlignment="1">
      <alignment horizontal="center"/>
    </xf>
    <xf numFmtId="0" fontId="4" fillId="5" borderId="3" xfId="0" quotePrefix="1" applyNumberFormat="1" applyFont="1" applyFill="1" applyBorder="1" applyAlignment="1">
      <alignment horizontal="center"/>
    </xf>
    <xf numFmtId="0" fontId="4" fillId="11" borderId="3" xfId="0" quotePrefix="1" applyNumberFormat="1" applyFont="1" applyFill="1" applyBorder="1" applyAlignment="1">
      <alignment horizontal="center"/>
    </xf>
    <xf numFmtId="0" fontId="4" fillId="10" borderId="3" xfId="0" quotePrefix="1" applyNumberFormat="1" applyFont="1" applyFill="1" applyBorder="1" applyAlignment="1">
      <alignment horizontal="center"/>
    </xf>
    <xf numFmtId="0" fontId="2" fillId="10" borderId="0" xfId="0" quotePrefix="1" applyNumberFormat="1" applyFont="1" applyFill="1" applyAlignment="1">
      <alignment horizontal="center"/>
    </xf>
    <xf numFmtId="0" fontId="4" fillId="9" borderId="3" xfId="0" quotePrefix="1" applyNumberFormat="1" applyFont="1" applyFill="1" applyBorder="1" applyAlignment="1">
      <alignment horizontal="center"/>
    </xf>
    <xf numFmtId="0" fontId="4" fillId="18" borderId="7" xfId="0" quotePrefix="1" applyNumberFormat="1" applyFont="1" applyFill="1" applyBorder="1" applyAlignment="1">
      <alignment horizontal="center"/>
    </xf>
    <xf numFmtId="0" fontId="4" fillId="3" borderId="7" xfId="0" quotePrefix="1" applyNumberFormat="1" applyFont="1" applyFill="1" applyBorder="1" applyAlignment="1">
      <alignment horizontal="center"/>
    </xf>
    <xf numFmtId="0" fontId="4" fillId="10" borderId="7" xfId="0" quotePrefix="1" applyNumberFormat="1" applyFont="1" applyFill="1" applyBorder="1" applyAlignment="1">
      <alignment horizontal="center"/>
    </xf>
    <xf numFmtId="0" fontId="4" fillId="10" borderId="3" xfId="0" applyFont="1" applyFill="1" applyBorder="1" applyAlignment="1">
      <alignment horizontal="center"/>
    </xf>
    <xf numFmtId="0" fontId="4" fillId="9" borderId="3" xfId="0" applyFont="1" applyFill="1" applyBorder="1" applyAlignment="1">
      <alignment horizontal="center"/>
    </xf>
    <xf numFmtId="0" fontId="4" fillId="2" borderId="7" xfId="0" quotePrefix="1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6" fillId="10" borderId="8" xfId="2" applyFont="1" applyFill="1" applyBorder="1" applyAlignment="1">
      <alignment horizontal="center" vertical="center"/>
    </xf>
    <xf numFmtId="0" fontId="6" fillId="10" borderId="9" xfId="2" applyFont="1" applyFill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43" fontId="2" fillId="0" borderId="8" xfId="1" applyFont="1" applyBorder="1" applyAlignment="1">
      <alignment horizontal="center" vertical="center" wrapText="1"/>
    </xf>
    <xf numFmtId="43" fontId="2" fillId="0" borderId="9" xfId="1" applyFont="1" applyBorder="1" applyAlignment="1">
      <alignment horizontal="center" vertical="center" wrapText="1"/>
    </xf>
    <xf numFmtId="0" fontId="11" fillId="19" borderId="1" xfId="2" applyFont="1" applyFill="1" applyBorder="1" applyAlignment="1">
      <alignment horizontal="center"/>
    </xf>
    <xf numFmtId="0" fontId="2" fillId="5" borderId="8" xfId="2" applyFont="1" applyFill="1" applyBorder="1" applyAlignment="1">
      <alignment horizontal="center" vertical="center"/>
    </xf>
    <xf numFmtId="0" fontId="2" fillId="5" borderId="9" xfId="2" applyFont="1" applyFill="1" applyBorder="1" applyAlignment="1">
      <alignment horizontal="center" vertical="center"/>
    </xf>
    <xf numFmtId="188" fontId="2" fillId="5" borderId="8" xfId="1" applyNumberFormat="1" applyFont="1" applyFill="1" applyBorder="1" applyAlignment="1">
      <alignment horizontal="center" vertical="center"/>
    </xf>
    <xf numFmtId="188" fontId="2" fillId="5" borderId="9" xfId="1" applyNumberFormat="1" applyFont="1" applyFill="1" applyBorder="1" applyAlignment="1">
      <alignment horizontal="center" vertical="center"/>
    </xf>
    <xf numFmtId="188" fontId="2" fillId="12" borderId="8" xfId="1" quotePrefix="1" applyNumberFormat="1" applyFont="1" applyFill="1" applyBorder="1" applyAlignment="1">
      <alignment horizontal="center" vertical="center"/>
    </xf>
    <xf numFmtId="188" fontId="2" fillId="12" borderId="9" xfId="1" quotePrefix="1" applyNumberFormat="1" applyFont="1" applyFill="1" applyBorder="1" applyAlignment="1">
      <alignment horizontal="center" vertical="center"/>
    </xf>
    <xf numFmtId="188" fontId="2" fillId="12" borderId="8" xfId="1" applyNumberFormat="1" applyFont="1" applyFill="1" applyBorder="1" applyAlignment="1">
      <alignment horizontal="center" vertical="center"/>
    </xf>
    <xf numFmtId="188" fontId="2" fillId="12" borderId="9" xfId="1" applyNumberFormat="1" applyFont="1" applyFill="1" applyBorder="1" applyAlignment="1">
      <alignment horizontal="center" vertical="center"/>
    </xf>
    <xf numFmtId="188" fontId="2" fillId="3" borderId="8" xfId="1" applyNumberFormat="1" applyFont="1" applyFill="1" applyBorder="1" applyAlignment="1">
      <alignment horizontal="center" vertical="center"/>
    </xf>
    <xf numFmtId="188" fontId="2" fillId="3" borderId="9" xfId="1" applyNumberFormat="1" applyFont="1" applyFill="1" applyBorder="1" applyAlignment="1">
      <alignment horizontal="center" vertical="center"/>
    </xf>
    <xf numFmtId="0" fontId="5" fillId="19" borderId="6" xfId="2" applyFont="1" applyFill="1" applyBorder="1" applyAlignment="1">
      <alignment horizontal="center"/>
    </xf>
    <xf numFmtId="0" fontId="5" fillId="19" borderId="10" xfId="2" applyFont="1" applyFill="1" applyBorder="1" applyAlignment="1">
      <alignment horizontal="center"/>
    </xf>
    <xf numFmtId="0" fontId="17" fillId="21" borderId="0" xfId="0" applyFont="1" applyFill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20" borderId="1" xfId="0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/>
    </xf>
    <xf numFmtId="0" fontId="13" fillId="11" borderId="8" xfId="0" applyFont="1" applyFill="1" applyBorder="1" applyAlignment="1">
      <alignment horizontal="center" vertical="center" wrapText="1"/>
    </xf>
    <xf numFmtId="0" fontId="13" fillId="11" borderId="9" xfId="0" applyFont="1" applyFill="1" applyBorder="1" applyAlignment="1">
      <alignment horizontal="center" vertical="center" wrapText="1"/>
    </xf>
    <xf numFmtId="43" fontId="13" fillId="23" borderId="2" xfId="1" applyFont="1" applyFill="1" applyBorder="1" applyAlignment="1">
      <alignment horizontal="center" vertical="center"/>
    </xf>
    <xf numFmtId="43" fontId="13" fillId="23" borderId="3" xfId="1" applyFont="1" applyFill="1" applyBorder="1" applyAlignment="1">
      <alignment horizontal="center" vertical="center"/>
    </xf>
    <xf numFmtId="43" fontId="13" fillId="23" borderId="4" xfId="1" applyFont="1" applyFill="1" applyBorder="1" applyAlignment="1">
      <alignment horizontal="center" vertical="center"/>
    </xf>
  </cellXfs>
  <cellStyles count="6">
    <cellStyle name="Accent6" xfId="4" builtinId="49"/>
    <cellStyle name="Bad" xfId="3" builtinId="27"/>
    <cellStyle name="Comma" xfId="1" builtinId="3"/>
    <cellStyle name="Neutral" xfId="5" builtinId="28"/>
    <cellStyle name="Normal" xfId="0" builtinId="0"/>
    <cellStyle name="Normal 2" xfId="2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90" formatCode="0_ ;\-0\ "/>
    </dxf>
    <dxf>
      <numFmt numFmtId="35" formatCode="_-* #,##0.00_-;\-* #,##0.00_-;_-* &quot;-&quot;??_-;_-@_-"/>
    </dxf>
    <dxf>
      <numFmt numFmtId="35" formatCode="_-* #,##0.00_-;\-* #,##0.00_-;_-* &quot;-&quot;??_-;_-@_-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pivotCacheDefinition" Target="pivotCache/pivotCacheDefinition3.xml"/><Relationship Id="rId30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IT" refreshedDate="44181.642858333333" createdVersion="4" refreshedVersion="4" minRefreshableVersion="3" recordCount="205">
  <cacheSource type="worksheet">
    <worksheetSource ref="A4:K209" sheet="total (SSS)"/>
  </cacheSource>
  <cacheFields count="11">
    <cacheField name="1" numFmtId="0">
      <sharedItems containsSemiMixedTypes="0" containsString="0" containsNumber="1" containsInteger="1" minValue="10660" maxValue="10781" count="16">
        <n v="10660"/>
        <n v="10688"/>
        <n v="10768"/>
        <n v="10769"/>
        <n v="10770"/>
        <n v="10771"/>
        <n v="10772"/>
        <n v="10773"/>
        <n v="10774"/>
        <n v="10775"/>
        <n v="10776"/>
        <n v="10777"/>
        <n v="10778"/>
        <n v="10779"/>
        <n v="10780"/>
        <n v="10781"/>
      </sharedItems>
    </cacheField>
    <cacheField name="2" numFmtId="0">
      <sharedItems/>
    </cacheField>
    <cacheField name="3" numFmtId="0">
      <sharedItems/>
    </cacheField>
    <cacheField name="4" numFmtId="0">
      <sharedItems containsSemiMixedTypes="0" containsString="0" containsNumber="1" containsInteger="1" minValue="260" maxValue="10283"/>
    </cacheField>
    <cacheField name="5" numFmtId="0">
      <sharedItems containsSemiMixedTypes="0" containsString="0" containsNumber="1" containsInteger="1" minValue="0" maxValue="4774"/>
    </cacheField>
    <cacheField name="6" numFmtId="0">
      <sharedItems containsSemiMixedTypes="0" containsString="0" containsNumber="1" containsInteger="1" minValue="0" maxValue="1108"/>
    </cacheField>
    <cacheField name="7" numFmtId="0">
      <sharedItems containsSemiMixedTypes="0" containsString="0" containsNumber="1" containsInteger="1" minValue="0" maxValue="163"/>
    </cacheField>
    <cacheField name="8" numFmtId="0">
      <sharedItems containsSemiMixedTypes="0" containsString="0" containsNumber="1" minValue="1" maxValue="205"/>
    </cacheField>
    <cacheField name="9" numFmtId="0">
      <sharedItems containsSemiMixedTypes="0" containsString="0" containsNumber="1" containsInteger="1" minValue="0" maxValue="49"/>
    </cacheField>
    <cacheField name="10" numFmtId="188">
      <sharedItems containsSemiMixedTypes="0" containsString="0" containsNumber="1" minValue="539" maxValue="16331"/>
    </cacheField>
    <cacheField name="11" numFmtId="0">
      <sharedItems count="5">
        <s v="L"/>
        <s v="M"/>
        <s v="S"/>
        <s v="SS"/>
        <s v="SS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IT" refreshedDate="44181.642858564817" createdVersion="4" refreshedVersion="4" minRefreshableVersion="3" recordCount="205">
  <cacheSource type="worksheet">
    <worksheetSource ref="A4:P209" sheet="total (OK)"/>
  </cacheSource>
  <cacheFields count="16">
    <cacheField name="1" numFmtId="0">
      <sharedItems containsSemiMixedTypes="0" containsString="0" containsNumber="1" containsInteger="1" minValue="10660" maxValue="10781" count="16">
        <n v="10660"/>
        <n v="10688"/>
        <n v="10768"/>
        <n v="10769"/>
        <n v="10770"/>
        <n v="10771"/>
        <n v="10772"/>
        <n v="10773"/>
        <n v="10774"/>
        <n v="10775"/>
        <n v="10776"/>
        <n v="10777"/>
        <n v="10778"/>
        <n v="10779"/>
        <n v="10780"/>
        <n v="10781"/>
      </sharedItems>
    </cacheField>
    <cacheField name="2" numFmtId="0">
      <sharedItems/>
    </cacheField>
    <cacheField name="3" numFmtId="0">
      <sharedItems/>
    </cacheField>
    <cacheField name="4" numFmtId="0">
      <sharedItems containsSemiMixedTypes="0" containsString="0" containsNumber="1" containsInteger="1" minValue="260" maxValue="10283"/>
    </cacheField>
    <cacheField name="5" numFmtId="0">
      <sharedItems containsSemiMixedTypes="0" containsString="0" containsNumber="1" containsInteger="1" minValue="34" maxValue="4277"/>
    </cacheField>
    <cacheField name="6" numFmtId="0">
      <sharedItems containsSemiMixedTypes="0" containsString="0" containsNumber="1" containsInteger="1" minValue="6" maxValue="1108"/>
    </cacheField>
    <cacheField name="7" numFmtId="0">
      <sharedItems containsSemiMixedTypes="0" containsString="0" containsNumber="1" containsInteger="1" minValue="0" maxValue="163"/>
    </cacheField>
    <cacheField name="8" numFmtId="0">
      <sharedItems containsSemiMixedTypes="0" containsString="0" containsNumber="1" minValue="1" maxValue="173"/>
    </cacheField>
    <cacheField name="9" numFmtId="0">
      <sharedItems containsSemiMixedTypes="0" containsString="0" containsNumber="1" containsInteger="1" minValue="0" maxValue="49"/>
    </cacheField>
    <cacheField name="10" numFmtId="188">
      <sharedItems containsSemiMixedTypes="0" containsString="0" containsNumber="1" minValue="539" maxValue="15195"/>
    </cacheField>
    <cacheField name="11" numFmtId="0">
      <sharedItems count="3">
        <s v="L"/>
        <s v="M"/>
        <s v="S"/>
      </sharedItems>
    </cacheField>
    <cacheField name="12" numFmtId="0">
      <sharedItems containsNonDate="0" containsString="0" containsBlank="1"/>
    </cacheField>
    <cacheField name="13" numFmtId="0">
      <sharedItems containsNonDate="0" containsString="0" containsBlank="1"/>
    </cacheField>
    <cacheField name="14" numFmtId="0">
      <sharedItems containsNonDate="0" containsString="0" containsBlank="1"/>
    </cacheField>
    <cacheField name="15" numFmtId="43">
      <sharedItems containsSemiMixedTypes="0" containsString="0" containsNumber="1" containsInteger="1" minValue="300000" maxValue="360000"/>
    </cacheField>
    <cacheField name="16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IT" refreshedDate="44181.642858912041" createdVersion="4" refreshedVersion="4" minRefreshableVersion="3" recordCount="205">
  <cacheSource type="worksheet">
    <worksheetSource ref="A4:O209" sheet="total (OK)"/>
  </cacheSource>
  <cacheFields count="15">
    <cacheField name="1" numFmtId="0">
      <sharedItems containsSemiMixedTypes="0" containsString="0" containsNumber="1" containsInteger="1" minValue="10660" maxValue="10781" count="16">
        <n v="10660"/>
        <n v="10688"/>
        <n v="10768"/>
        <n v="10769"/>
        <n v="10770"/>
        <n v="10771"/>
        <n v="10772"/>
        <n v="10773"/>
        <n v="10774"/>
        <n v="10775"/>
        <n v="10776"/>
        <n v="10777"/>
        <n v="10778"/>
        <n v="10779"/>
        <n v="10780"/>
        <n v="10781"/>
      </sharedItems>
    </cacheField>
    <cacheField name="2" numFmtId="0">
      <sharedItems/>
    </cacheField>
    <cacheField name="3" numFmtId="0">
      <sharedItems/>
    </cacheField>
    <cacheField name="4" numFmtId="0">
      <sharedItems containsSemiMixedTypes="0" containsString="0" containsNumber="1" containsInteger="1" minValue="260" maxValue="10283"/>
    </cacheField>
    <cacheField name="5" numFmtId="0">
      <sharedItems containsSemiMixedTypes="0" containsString="0" containsNumber="1" containsInteger="1" minValue="34" maxValue="4277"/>
    </cacheField>
    <cacheField name="6" numFmtId="0">
      <sharedItems containsSemiMixedTypes="0" containsString="0" containsNumber="1" containsInteger="1" minValue="6" maxValue="1108"/>
    </cacheField>
    <cacheField name="7" numFmtId="0">
      <sharedItems containsSemiMixedTypes="0" containsString="0" containsNumber="1" containsInteger="1" minValue="0" maxValue="163"/>
    </cacheField>
    <cacheField name="8" numFmtId="0">
      <sharedItems containsSemiMixedTypes="0" containsString="0" containsNumber="1" minValue="1" maxValue="173"/>
    </cacheField>
    <cacheField name="9" numFmtId="0">
      <sharedItems containsSemiMixedTypes="0" containsString="0" containsNumber="1" containsInteger="1" minValue="0" maxValue="49"/>
    </cacheField>
    <cacheField name="10" numFmtId="188">
      <sharedItems containsSemiMixedTypes="0" containsString="0" containsNumber="1" minValue="539" maxValue="15195"/>
    </cacheField>
    <cacheField name="11" numFmtId="0">
      <sharedItems count="3">
        <s v="L"/>
        <s v="M"/>
        <s v="S"/>
      </sharedItems>
    </cacheField>
    <cacheField name="12" numFmtId="0">
      <sharedItems containsNonDate="0" containsString="0" containsBlank="1"/>
    </cacheField>
    <cacheField name="13" numFmtId="0">
      <sharedItems containsNonDate="0" containsString="0" containsBlank="1"/>
    </cacheField>
    <cacheField name="14" numFmtId="0">
      <sharedItems containsNonDate="0" containsString="0" containsBlank="1"/>
    </cacheField>
    <cacheField name="15" numFmtId="43">
      <sharedItems containsSemiMixedTypes="0" containsString="0" containsNumber="1" containsInteger="1" minValue="300000" maxValue="36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5">
  <r>
    <x v="0"/>
    <s v="01149"/>
    <s v="สอ.วัดพระญาติการาม"/>
    <n v="5024"/>
    <n v="2158"/>
    <n v="1086"/>
    <n v="88"/>
    <n v="140"/>
    <n v="49"/>
    <n v="8545"/>
    <x v="0"/>
  </r>
  <r>
    <x v="0"/>
    <s v="01150"/>
    <s v="สอ.ต.ไผ่ลิง"/>
    <n v="4383"/>
    <n v="1938"/>
    <n v="732"/>
    <n v="64"/>
    <n v="87"/>
    <n v="12"/>
    <n v="7216"/>
    <x v="1"/>
  </r>
  <r>
    <x v="0"/>
    <s v="01151"/>
    <s v="สอ.ต.ปากกราน"/>
    <n v="3924"/>
    <n v="1500"/>
    <n v="557"/>
    <n v="60"/>
    <n v="96"/>
    <n v="4"/>
    <n v="6141"/>
    <x v="1"/>
  </r>
  <r>
    <x v="0"/>
    <s v="01152"/>
    <s v="สอ.ต.ภูเขาทอง"/>
    <n v="1972"/>
    <n v="605"/>
    <n v="162"/>
    <n v="16"/>
    <n v="25"/>
    <n v="7"/>
    <n v="2787"/>
    <x v="2"/>
  </r>
  <r>
    <x v="0"/>
    <s v="01153"/>
    <s v="สอ.ต.สำเภาล่ม"/>
    <n v="4592"/>
    <n v="1732"/>
    <n v="399"/>
    <n v="72"/>
    <n v="91"/>
    <n v="13"/>
    <n v="6899"/>
    <x v="1"/>
  </r>
  <r>
    <x v="0"/>
    <s v="01154"/>
    <s v="สอ.บ้านเพนียด"/>
    <n v="1723"/>
    <n v="629"/>
    <n v="189"/>
    <n v="8"/>
    <n v="22"/>
    <n v="2"/>
    <n v="2573"/>
    <x v="2"/>
  </r>
  <r>
    <x v="0"/>
    <s v="01155"/>
    <s v="สอ.ต.สวนพริก"/>
    <n v="1324"/>
    <n v="390"/>
    <n v="106"/>
    <n v="20"/>
    <n v="17"/>
    <n v="2"/>
    <n v="1859"/>
    <x v="3"/>
  </r>
  <r>
    <x v="0"/>
    <s v="01156"/>
    <s v="สอ.ต.คลองตะเคียน"/>
    <n v="3353"/>
    <n v="1250"/>
    <n v="336"/>
    <n v="33"/>
    <n v="102"/>
    <n v="9"/>
    <n v="5083"/>
    <x v="1"/>
  </r>
  <r>
    <x v="0"/>
    <s v="01157"/>
    <s v="สอ.ต.วัดตูม"/>
    <n v="2507"/>
    <n v="1053"/>
    <n v="700"/>
    <n v="39"/>
    <n v="60"/>
    <n v="14"/>
    <n v="4373"/>
    <x v="1"/>
  </r>
  <r>
    <x v="0"/>
    <s v="01158"/>
    <s v="สอ.ต.หันตรา"/>
    <n v="3521"/>
    <n v="484"/>
    <n v="270"/>
    <n v="32"/>
    <n v="32"/>
    <n v="0"/>
    <n v="4339"/>
    <x v="1"/>
  </r>
  <r>
    <x v="0"/>
    <s v="01159"/>
    <s v="สอ.ต.ลุมพลี"/>
    <n v="4073"/>
    <n v="1077"/>
    <n v="268"/>
    <n v="29"/>
    <n v="32"/>
    <n v="12"/>
    <n v="5491"/>
    <x v="1"/>
  </r>
  <r>
    <x v="0"/>
    <s v="01160"/>
    <s v="สอ.ต.บ้านใหม่"/>
    <n v="3743"/>
    <n v="1157"/>
    <n v="315"/>
    <n v="26"/>
    <n v="53"/>
    <n v="10"/>
    <n v="5304"/>
    <x v="1"/>
  </r>
  <r>
    <x v="0"/>
    <s v="01161"/>
    <s v="สอ.ต.บ้านเกาะ"/>
    <n v="3106"/>
    <n v="1368"/>
    <n v="690"/>
    <n v="58"/>
    <n v="94"/>
    <n v="9"/>
    <n v="5325"/>
    <x v="1"/>
  </r>
  <r>
    <x v="0"/>
    <s v="01162"/>
    <s v="สอ.ต.คลองสวนพลู"/>
    <n v="3834"/>
    <n v="1953"/>
    <n v="1108"/>
    <n v="128"/>
    <n v="117"/>
    <n v="14"/>
    <n v="7154"/>
    <x v="1"/>
  </r>
  <r>
    <x v="0"/>
    <s v="01163"/>
    <s v="สอ.ต.คลองสระบัว"/>
    <n v="2613"/>
    <n v="997"/>
    <n v="390"/>
    <n v="61"/>
    <n v="53"/>
    <n v="8"/>
    <n v="4122"/>
    <x v="1"/>
  </r>
  <r>
    <x v="0"/>
    <s v="01164"/>
    <s v="สอ.ต.เกาะเรียน"/>
    <n v="1466"/>
    <n v="822"/>
    <n v="228"/>
    <n v="25"/>
    <n v="32"/>
    <n v="8"/>
    <n v="2581"/>
    <x v="2"/>
  </r>
  <r>
    <x v="0"/>
    <s v="01165"/>
    <s v="สอ.ต.บ้านป้อม"/>
    <n v="4101"/>
    <n v="1742"/>
    <n v="763"/>
    <n v="81"/>
    <n v="89"/>
    <n v="14"/>
    <n v="6790"/>
    <x v="1"/>
  </r>
  <r>
    <x v="0"/>
    <s v="01166"/>
    <s v="สอ.ต.บ้านรุน"/>
    <n v="837"/>
    <n v="434"/>
    <n v="95"/>
    <n v="11"/>
    <n v="18"/>
    <n v="0"/>
    <n v="1395"/>
    <x v="3"/>
  </r>
  <r>
    <x v="1"/>
    <s v="01304"/>
    <s v="สอ.ต.บ้านแพน"/>
    <n v="1922"/>
    <n v="1676"/>
    <n v="667"/>
    <n v="163"/>
    <n v="95"/>
    <n v="11"/>
    <n v="4534"/>
    <x v="1"/>
  </r>
  <r>
    <x v="1"/>
    <s v="01305"/>
    <s v="สอ.ต.เจ้าเจ็ด"/>
    <n v="2644"/>
    <n v="1030"/>
    <n v="370"/>
    <n v="110"/>
    <n v="62"/>
    <n v="9"/>
    <n v="4225"/>
    <x v="1"/>
  </r>
  <r>
    <x v="1"/>
    <s v="01306"/>
    <s v="สอ.ต.สามกอ"/>
    <n v="4269"/>
    <n v="1509"/>
    <n v="455"/>
    <n v="100"/>
    <n v="50"/>
    <n v="9"/>
    <n v="6392"/>
    <x v="1"/>
  </r>
  <r>
    <x v="1"/>
    <s v="01308"/>
    <s v="สอ.ต.หัวเวียง"/>
    <n v="2070"/>
    <n v="1132"/>
    <n v="323"/>
    <n v="79"/>
    <n v="51"/>
    <n v="6"/>
    <n v="3661"/>
    <x v="1"/>
  </r>
  <r>
    <x v="1"/>
    <s v="01309"/>
    <s v="สอ.ต.มารวิชัย"/>
    <n v="2010"/>
    <n v="538"/>
    <n v="128"/>
    <n v="16"/>
    <n v="18"/>
    <n v="1"/>
    <n v="2711"/>
    <x v="2"/>
  </r>
  <r>
    <x v="1"/>
    <s v="01310"/>
    <s v="สอ.ต.บ้านโพธิ์"/>
    <n v="2311"/>
    <n v="903"/>
    <n v="270"/>
    <n v="43"/>
    <n v="42"/>
    <n v="4"/>
    <n v="3573"/>
    <x v="1"/>
  </r>
  <r>
    <x v="1"/>
    <s v="01311"/>
    <s v="สอ.ต.รางจรเข้"/>
    <n v="1662"/>
    <n v="771"/>
    <n v="168"/>
    <n v="27"/>
    <n v="28"/>
    <n v="3"/>
    <n v="2659"/>
    <x v="2"/>
  </r>
  <r>
    <x v="1"/>
    <s v="01312"/>
    <s v="สอ.ต.บ้านกระทุ่ม"/>
    <n v="1143"/>
    <n v="572"/>
    <n v="166"/>
    <n v="21"/>
    <n v="21"/>
    <n v="3"/>
    <n v="1926"/>
    <x v="3"/>
  </r>
  <r>
    <x v="1"/>
    <s v="01313"/>
    <s v="สอ.ต.บ้านแถว"/>
    <n v="2857"/>
    <n v="1137"/>
    <n v="219"/>
    <n v="52"/>
    <n v="38"/>
    <n v="4"/>
    <n v="4307"/>
    <x v="1"/>
  </r>
  <r>
    <x v="1"/>
    <s v="01314"/>
    <s v="สอ.ต.ชายนา"/>
    <n v="3218"/>
    <n v="1032"/>
    <n v="249"/>
    <n v="47"/>
    <n v="44"/>
    <n v="10"/>
    <n v="4600"/>
    <x v="1"/>
  </r>
  <r>
    <x v="1"/>
    <s v="01315"/>
    <s v="สอ.ต.สามตุ่ม"/>
    <n v="3297"/>
    <n v="1190"/>
    <n v="208"/>
    <n v="26"/>
    <n v="27"/>
    <n v="4"/>
    <n v="4752"/>
    <x v="1"/>
  </r>
  <r>
    <x v="1"/>
    <s v="01316"/>
    <s v="สอ.ต.ลาดงา"/>
    <n v="2097"/>
    <n v="952"/>
    <n v="155"/>
    <n v="16"/>
    <n v="19"/>
    <n v="6"/>
    <n v="3245"/>
    <x v="1"/>
  </r>
  <r>
    <x v="1"/>
    <s v="01317"/>
    <s v="สอ.ต.ดอนทอง"/>
    <n v="1734"/>
    <n v="494"/>
    <n v="88"/>
    <n v="33"/>
    <n v="6"/>
    <n v="4"/>
    <n v="2359"/>
    <x v="2"/>
  </r>
  <r>
    <x v="1"/>
    <s v="01318"/>
    <s v="สอ.ต.บ้านหลวง"/>
    <n v="1768"/>
    <n v="732"/>
    <n v="110"/>
    <n v="24"/>
    <n v="15"/>
    <n v="5"/>
    <n v="2654"/>
    <x v="2"/>
  </r>
  <r>
    <x v="1"/>
    <s v="01319"/>
    <s v="สอ.ต.เจ้าเสด็จ"/>
    <n v="1589"/>
    <n v="782"/>
    <n v="171"/>
    <n v="68"/>
    <n v="46"/>
    <n v="3"/>
    <n v="2659"/>
    <x v="2"/>
  </r>
  <r>
    <x v="2"/>
    <s v="01167"/>
    <s v="สอ.ต.จำปา"/>
    <n v="1697"/>
    <n v="796"/>
    <n v="143"/>
    <n v="23"/>
    <n v="30"/>
    <n v="9"/>
    <n v="2698"/>
    <x v="2"/>
  </r>
  <r>
    <x v="2"/>
    <s v="01168"/>
    <s v="สอ.ต.ท่าหลวง"/>
    <n v="1926"/>
    <n v="949"/>
    <n v="225"/>
    <n v="28"/>
    <n v="48"/>
    <n v="10"/>
    <n v="3186"/>
    <x v="1"/>
  </r>
  <r>
    <x v="2"/>
    <s v="01169"/>
    <s v="สอ.บ้านดอนประดู่"/>
    <n v="850"/>
    <n v="404"/>
    <n v="98"/>
    <n v="17"/>
    <n v="16"/>
    <n v="1"/>
    <n v="1386"/>
    <x v="3"/>
  </r>
  <r>
    <x v="2"/>
    <s v="01170"/>
    <s v="สอ.ต.บ้านร่อม"/>
    <n v="1019"/>
    <n v="451"/>
    <n v="77"/>
    <n v="8"/>
    <n v="19"/>
    <n v="3"/>
    <n v="1577"/>
    <x v="3"/>
  </r>
  <r>
    <x v="2"/>
    <s v="01171"/>
    <s v="สอ.ต.ศาลาลอย"/>
    <n v="1342"/>
    <n v="684"/>
    <n v="122"/>
    <n v="21"/>
    <n v="24"/>
    <n v="4"/>
    <n v="2197"/>
    <x v="2"/>
  </r>
  <r>
    <x v="2"/>
    <s v="01172"/>
    <s v="สอ.บ้านศาลาลอย"/>
    <n v="1436"/>
    <n v="749"/>
    <n v="109"/>
    <n v="29"/>
    <n v="19"/>
    <n v="6"/>
    <n v="2348"/>
    <x v="2"/>
  </r>
  <r>
    <x v="2"/>
    <s v="01173"/>
    <s v="สอ.ต.วังแดง"/>
    <n v="1903"/>
    <n v="861"/>
    <n v="226"/>
    <n v="22"/>
    <n v="44"/>
    <n v="5"/>
    <n v="3061"/>
    <x v="1"/>
  </r>
  <r>
    <x v="2"/>
    <s v="01174"/>
    <s v="สอ.ต.โพธิ์เอน"/>
    <n v="875"/>
    <n v="480"/>
    <n v="81"/>
    <n v="25"/>
    <n v="16"/>
    <n v="8"/>
    <n v="1485"/>
    <x v="3"/>
  </r>
  <r>
    <x v="2"/>
    <s v="01175"/>
    <s v="สอ.ต.โพธิ์เอน"/>
    <n v="1007"/>
    <n v="485"/>
    <n v="77"/>
    <n v="18"/>
    <n v="13"/>
    <n v="3"/>
    <n v="1603"/>
    <x v="3"/>
  </r>
  <r>
    <x v="2"/>
    <s v="01176"/>
    <s v="สอ.ต.ปากท่า"/>
    <n v="1641"/>
    <n v="870"/>
    <n v="206"/>
    <n v="27"/>
    <n v="30"/>
    <n v="6"/>
    <n v="2780"/>
    <x v="2"/>
  </r>
  <r>
    <x v="2"/>
    <s v="01177"/>
    <s v="สอ.ต.หนองขนาก"/>
    <n v="2447"/>
    <n v="1329"/>
    <n v="359"/>
    <n v="38"/>
    <n v="50"/>
    <n v="10"/>
    <n v="4233"/>
    <x v="1"/>
  </r>
  <r>
    <x v="2"/>
    <s v="01178"/>
    <s v="สอ.ต.ท่าเจ้าสนุก"/>
    <n v="2180"/>
    <n v="1031"/>
    <n v="268"/>
    <n v="49"/>
    <n v="47"/>
    <n v="9"/>
    <n v="3584"/>
    <x v="1"/>
  </r>
  <r>
    <x v="3"/>
    <s v="01179"/>
    <s v="สอ.เฉลิมพระเกียรติ 60 พรรษา นวมินทราชินี"/>
    <n v="2609"/>
    <n v="1347"/>
    <n v="539"/>
    <n v="68"/>
    <n v="61"/>
    <n v="9"/>
    <n v="4633"/>
    <x v="1"/>
  </r>
  <r>
    <x v="3"/>
    <s v="01180"/>
    <s v="สอ.ต.ท่าช้าง"/>
    <n v="2847"/>
    <n v="1096"/>
    <n v="298"/>
    <n v="75"/>
    <n v="50"/>
    <n v="9"/>
    <n v="4375"/>
    <x v="1"/>
  </r>
  <r>
    <x v="3"/>
    <s v="01181"/>
    <s v="สอ.ต.บ่อโพง"/>
    <n v="3550"/>
    <n v="494"/>
    <n v="93"/>
    <n v="8"/>
    <n v="14"/>
    <n v="6"/>
    <n v="4165"/>
    <x v="1"/>
  </r>
  <r>
    <x v="3"/>
    <s v="01182"/>
    <s v="สอ.ต.บ้านชุ้ง"/>
    <n v="2236"/>
    <n v="1017"/>
    <n v="247"/>
    <n v="18"/>
    <n v="35"/>
    <n v="3"/>
    <n v="3556"/>
    <x v="1"/>
  </r>
  <r>
    <x v="3"/>
    <s v="01183"/>
    <s v="สอ.ต.ปากจั่น"/>
    <n v="2190"/>
    <n v="1052"/>
    <n v="162"/>
    <n v="35"/>
    <n v="34"/>
    <n v="5"/>
    <n v="3478"/>
    <x v="1"/>
  </r>
  <r>
    <x v="3"/>
    <s v="01184"/>
    <s v="สอ.ต.บางระกำ"/>
    <n v="1763"/>
    <n v="867"/>
    <n v="223"/>
    <n v="39"/>
    <n v="34"/>
    <n v="4"/>
    <n v="2930"/>
    <x v="2"/>
  </r>
  <r>
    <x v="3"/>
    <s v="01185"/>
    <s v="สอ.ต.บางพระครู"/>
    <n v="1342"/>
    <n v="680"/>
    <n v="126"/>
    <n v="18"/>
    <n v="23"/>
    <n v="3"/>
    <n v="2192"/>
    <x v="2"/>
  </r>
  <r>
    <x v="3"/>
    <s v="01186"/>
    <s v="สอ.ต.แม่ลา"/>
    <n v="1082"/>
    <n v="508"/>
    <n v="190"/>
    <n v="16"/>
    <n v="18"/>
    <n v="2"/>
    <n v="1816"/>
    <x v="3"/>
  </r>
  <r>
    <x v="3"/>
    <s v="01187"/>
    <s v="สอ.ต.หนองปลิง"/>
    <n v="1313"/>
    <n v="621"/>
    <n v="119"/>
    <n v="9"/>
    <n v="11"/>
    <n v="3"/>
    <n v="2076"/>
    <x v="2"/>
  </r>
  <r>
    <x v="3"/>
    <s v="01188"/>
    <s v="สอ.ต.คลองสะแก"/>
    <n v="1329"/>
    <n v="760"/>
    <n v="143"/>
    <n v="13"/>
    <n v="25"/>
    <n v="2"/>
    <n v="2272"/>
    <x v="2"/>
  </r>
  <r>
    <x v="3"/>
    <s v="01189"/>
    <s v="สอ.ต.สามไถ"/>
    <n v="770"/>
    <n v="349"/>
    <n v="83"/>
    <n v="20"/>
    <n v="20"/>
    <n v="4"/>
    <n v="1246"/>
    <x v="3"/>
  </r>
  <r>
    <x v="3"/>
    <s v="01190"/>
    <s v="สอ.ต.พระนอน"/>
    <n v="1171"/>
    <n v="578"/>
    <n v="175"/>
    <n v="10"/>
    <n v="22"/>
    <n v="1"/>
    <n v="1957"/>
    <x v="3"/>
  </r>
  <r>
    <x v="4"/>
    <s v="01191"/>
    <s v="สอ.ต.บางพลี"/>
    <n v="1805"/>
    <n v="616"/>
    <n v="85"/>
    <n v="12"/>
    <n v="20"/>
    <n v="3"/>
    <n v="2541"/>
    <x v="2"/>
  </r>
  <r>
    <x v="4"/>
    <s v="01192"/>
    <s v="สอ.ต.สนามไชย"/>
    <n v="1492"/>
    <n v="852"/>
    <n v="140"/>
    <n v="22"/>
    <n v="24"/>
    <n v="8"/>
    <n v="2538"/>
    <x v="2"/>
  </r>
  <r>
    <x v="4"/>
    <s v="01193"/>
    <s v="สอ.ต.บ้านแป้ง"/>
    <n v="440"/>
    <n v="228"/>
    <n v="74"/>
    <n v="15"/>
    <n v="11"/>
    <n v="0"/>
    <n v="768"/>
    <x v="4"/>
  </r>
  <r>
    <x v="4"/>
    <s v="01194"/>
    <s v="สอ.ต.หน้าไม้"/>
    <n v="519"/>
    <n v="220"/>
    <n v="80"/>
    <n v="11"/>
    <n v="11"/>
    <n v="2"/>
    <n v="843"/>
    <x v="4"/>
  </r>
  <r>
    <x v="4"/>
    <s v="01195"/>
    <s v="สอ.ต.บางยี่โท"/>
    <n v="788"/>
    <n v="466"/>
    <n v="122"/>
    <n v="19"/>
    <n v="29"/>
    <n v="4"/>
    <n v="1428"/>
    <x v="3"/>
  </r>
  <r>
    <x v="4"/>
    <s v="01196"/>
    <s v="สอ.ต.แคออก"/>
    <n v="491"/>
    <n v="288"/>
    <n v="57"/>
    <n v="10"/>
    <n v="11"/>
    <n v="0"/>
    <n v="857"/>
    <x v="4"/>
  </r>
  <r>
    <x v="4"/>
    <s v="01197"/>
    <s v="สอ.ต.แคตก"/>
    <n v="707"/>
    <n v="313"/>
    <n v="66"/>
    <n v="11"/>
    <n v="16"/>
    <n v="2"/>
    <n v="1115"/>
    <x v="3"/>
  </r>
  <r>
    <x v="4"/>
    <s v="01198"/>
    <s v="สอ.ต.ช่างเหล็ก"/>
    <n v="813"/>
    <n v="488"/>
    <n v="73"/>
    <n v="5"/>
    <n v="19"/>
    <n v="1"/>
    <n v="1399"/>
    <x v="3"/>
  </r>
  <r>
    <x v="4"/>
    <s v="01199"/>
    <s v="สอ.ต.กระแชง"/>
    <n v="978"/>
    <n v="427"/>
    <n v="116"/>
    <n v="21"/>
    <n v="18"/>
    <n v="1"/>
    <n v="1561"/>
    <x v="3"/>
  </r>
  <r>
    <x v="4"/>
    <s v="01200"/>
    <s v="สอ.ต.บ้านกลึง"/>
    <n v="1244"/>
    <n v="545"/>
    <n v="114"/>
    <n v="19"/>
    <n v="25"/>
    <n v="3"/>
    <n v="1950"/>
    <x v="3"/>
  </r>
  <r>
    <x v="4"/>
    <s v="01201"/>
    <s v="สอ.ต.ช้างน้อย"/>
    <n v="750"/>
    <n v="277"/>
    <n v="58"/>
    <n v="11"/>
    <n v="9"/>
    <n v="0"/>
    <n v="1105"/>
    <x v="3"/>
  </r>
  <r>
    <x v="4"/>
    <s v="01202"/>
    <s v="สอ.ต.ห่อหมก"/>
    <n v="1053"/>
    <n v="551"/>
    <n v="81"/>
    <n v="16"/>
    <n v="17"/>
    <n v="2"/>
    <n v="1720"/>
    <x v="3"/>
  </r>
  <r>
    <x v="4"/>
    <s v="01203"/>
    <s v="สอ.ต.ไผ่พระ"/>
    <n v="1369"/>
    <n v="579"/>
    <n v="72"/>
    <n v="0"/>
    <n v="11"/>
    <n v="0"/>
    <n v="2031"/>
    <x v="2"/>
  </r>
  <r>
    <x v="4"/>
    <s v="01204"/>
    <s v="สอ.ต.กกแก้วบูรพา"/>
    <n v="1436"/>
    <n v="491"/>
    <n v="69"/>
    <n v="2"/>
    <n v="13"/>
    <n v="5"/>
    <n v="2016"/>
    <x v="2"/>
  </r>
  <r>
    <x v="4"/>
    <s v="01205"/>
    <s v="สอ.ต.ไม้ตรา"/>
    <n v="2814"/>
    <n v="1212"/>
    <n v="328"/>
    <n v="25"/>
    <n v="67"/>
    <n v="16"/>
    <n v="4462"/>
    <x v="1"/>
  </r>
  <r>
    <x v="4"/>
    <s v="01206"/>
    <s v="สอ.ต.บ้านม้า"/>
    <n v="1846"/>
    <n v="908"/>
    <n v="324"/>
    <n v="19"/>
    <n v="57"/>
    <n v="4"/>
    <n v="3158"/>
    <x v="1"/>
  </r>
  <r>
    <x v="4"/>
    <s v="01207"/>
    <s v="สอ.ต.บ้านเกาะ"/>
    <n v="887"/>
    <n v="386"/>
    <n v="94"/>
    <n v="8"/>
    <n v="14"/>
    <n v="2"/>
    <n v="1391"/>
    <x v="3"/>
  </r>
  <r>
    <x v="4"/>
    <s v="01208"/>
    <s v="สอ.ต.ราชคราม"/>
    <n v="1225"/>
    <n v="806"/>
    <n v="68"/>
    <n v="26"/>
    <n v="20"/>
    <n v="3"/>
    <n v="2148"/>
    <x v="2"/>
  </r>
  <r>
    <x v="4"/>
    <s v="01209"/>
    <s v="สอ.ต.ช้างใหญ่"/>
    <n v="1414"/>
    <n v="255"/>
    <n v="33"/>
    <n v="18"/>
    <n v="10"/>
    <n v="1"/>
    <n v="1731"/>
    <x v="3"/>
  </r>
  <r>
    <x v="4"/>
    <s v="01210"/>
    <s v="สอ.คัคณางค์"/>
    <n v="1557"/>
    <n v="961"/>
    <n v="231"/>
    <n v="47"/>
    <n v="44"/>
    <n v="6"/>
    <n v="2846"/>
    <x v="2"/>
  </r>
  <r>
    <x v="4"/>
    <s v="01211"/>
    <s v="สอ.ต.โพธิ์แตง"/>
    <n v="721"/>
    <n v="505"/>
    <n v="120"/>
    <n v="8"/>
    <n v="19"/>
    <n v="0"/>
    <n v="1373"/>
    <x v="3"/>
  </r>
  <r>
    <x v="4"/>
    <s v="01212"/>
    <s v="สอ.ต.เชียงรากน้อย"/>
    <n v="854"/>
    <n v="528"/>
    <n v="84"/>
    <n v="15"/>
    <n v="21"/>
    <n v="0"/>
    <n v="1502"/>
    <x v="3"/>
  </r>
  <r>
    <x v="4"/>
    <s v="01213"/>
    <s v="สอ.ต.โคกช้าง"/>
    <n v="1484"/>
    <n v="634"/>
    <n v="210"/>
    <n v="21"/>
    <n v="19"/>
    <n v="3"/>
    <n v="2371"/>
    <x v="2"/>
  </r>
  <r>
    <x v="5"/>
    <s v="01214"/>
    <s v="สอ.ต.บางบาล"/>
    <n v="529"/>
    <n v="290"/>
    <n v="139"/>
    <n v="11"/>
    <n v="19"/>
    <n v="4"/>
    <n v="992"/>
    <x v="4"/>
  </r>
  <r>
    <x v="5"/>
    <s v="01215"/>
    <s v="สอ.ต.วัดยม"/>
    <n v="1048"/>
    <n v="400"/>
    <n v="186"/>
    <n v="6"/>
    <n v="18"/>
    <n v="1"/>
    <n v="1659"/>
    <x v="3"/>
  </r>
  <r>
    <x v="5"/>
    <s v="01216"/>
    <s v="สอ.ต.ไทรน้อย"/>
    <n v="1591"/>
    <n v="555"/>
    <n v="352"/>
    <n v="29"/>
    <n v="46"/>
    <n v="10"/>
    <n v="2583"/>
    <x v="2"/>
  </r>
  <r>
    <x v="5"/>
    <s v="01217"/>
    <s v="สอ.ต.มหาพราหมณ์"/>
    <n v="3163"/>
    <n v="1110"/>
    <n v="449"/>
    <n v="57"/>
    <n v="56"/>
    <n v="10"/>
    <n v="4845"/>
    <x v="1"/>
  </r>
  <r>
    <x v="5"/>
    <s v="01218"/>
    <s v="สอ.ต.กบเจา"/>
    <n v="1406"/>
    <n v="543"/>
    <n v="310"/>
    <n v="18"/>
    <n v="36"/>
    <n v="1"/>
    <n v="2314"/>
    <x v="2"/>
  </r>
  <r>
    <x v="5"/>
    <s v="01219"/>
    <s v="สอ.ต.บ้านคลัง"/>
    <n v="1179"/>
    <n v="602"/>
    <n v="139"/>
    <n v="19"/>
    <n v="23"/>
    <n v="3"/>
    <n v="1965"/>
    <x v="3"/>
  </r>
  <r>
    <x v="5"/>
    <s v="01220"/>
    <s v="สอ.ต.พระขาว"/>
    <n v="2496"/>
    <n v="1012"/>
    <n v="337"/>
    <n v="41"/>
    <n v="51"/>
    <n v="8"/>
    <n v="3945"/>
    <x v="1"/>
  </r>
  <r>
    <x v="5"/>
    <s v="01221"/>
    <s v="สอ.ต.น้ำเต้า"/>
    <n v="1359"/>
    <n v="643"/>
    <n v="154"/>
    <n v="20"/>
    <n v="38"/>
    <n v="4"/>
    <n v="2218"/>
    <x v="2"/>
  </r>
  <r>
    <x v="5"/>
    <s v="01222"/>
    <s v="สอ.ต.ทางช้าง"/>
    <n v="595"/>
    <n v="277"/>
    <n v="94"/>
    <n v="11"/>
    <n v="13"/>
    <n v="1"/>
    <n v="991"/>
    <x v="4"/>
  </r>
  <r>
    <x v="5"/>
    <s v="01223"/>
    <s v="สอ.ต.วัดตะกู"/>
    <n v="808"/>
    <n v="434"/>
    <n v="167"/>
    <n v="4"/>
    <n v="12"/>
    <n v="2"/>
    <n v="1427"/>
    <x v="3"/>
  </r>
  <r>
    <x v="5"/>
    <s v="01224"/>
    <s v="สอ.ต.บางหลวง"/>
    <n v="448"/>
    <n v="240"/>
    <n v="117"/>
    <n v="7"/>
    <n v="18"/>
    <n v="5"/>
    <n v="835"/>
    <x v="4"/>
  </r>
  <r>
    <x v="5"/>
    <s v="01225"/>
    <s v="สอ.ต.บางหลวงโดด"/>
    <n v="374"/>
    <n v="196"/>
    <n v="66"/>
    <n v="11"/>
    <n v="5"/>
    <n v="0"/>
    <n v="652"/>
    <x v="4"/>
  </r>
  <r>
    <x v="5"/>
    <s v="01226"/>
    <s v="สอ.ต.บางหัก"/>
    <n v="702"/>
    <n v="406"/>
    <n v="119"/>
    <n v="13"/>
    <n v="22"/>
    <n v="4"/>
    <n v="1266"/>
    <x v="3"/>
  </r>
  <r>
    <x v="5"/>
    <s v="01227"/>
    <s v="สอ.ต.บางชะนี"/>
    <n v="1004"/>
    <n v="490"/>
    <n v="193"/>
    <n v="16"/>
    <n v="25"/>
    <n v="5"/>
    <n v="1733"/>
    <x v="3"/>
  </r>
  <r>
    <x v="5"/>
    <s v="01228"/>
    <s v="สอ.ต.บ้านกุ่ม"/>
    <n v="2116"/>
    <n v="944"/>
    <n v="439"/>
    <n v="22"/>
    <n v="46"/>
    <n v="2"/>
    <n v="3569"/>
    <x v="1"/>
  </r>
  <r>
    <x v="6"/>
    <s v="01229"/>
    <s v="สอ.คลองเปรม"/>
    <n v="2038"/>
    <n v="0"/>
    <n v="0"/>
    <n v="0"/>
    <n v="3"/>
    <n v="0"/>
    <n v="2041"/>
    <x v="2"/>
  </r>
  <r>
    <x v="6"/>
    <s v="01230"/>
    <s v="สอ.ต.เชียงรากน้อย"/>
    <n v="10283"/>
    <n v="4774"/>
    <n v="899"/>
    <n v="146"/>
    <n v="205"/>
    <n v="24"/>
    <n v="16331"/>
    <x v="0"/>
  </r>
  <r>
    <x v="6"/>
    <s v="01231"/>
    <s v="สอ.ต.บ้านโพ"/>
    <n v="1602"/>
    <n v="956"/>
    <n v="264"/>
    <n v="22"/>
    <n v="51"/>
    <n v="7"/>
    <n v="2902"/>
    <x v="2"/>
  </r>
  <r>
    <x v="6"/>
    <s v="01232"/>
    <s v="สอ.ต.บ้านกรด"/>
    <n v="2787"/>
    <n v="66"/>
    <n v="6"/>
    <n v="4"/>
    <n v="3"/>
    <n v="0"/>
    <n v="2866"/>
    <x v="2"/>
  </r>
  <r>
    <x v="6"/>
    <s v="01233"/>
    <s v="สอ.ขนอนเหนือ"/>
    <n v="1177"/>
    <n v="1944"/>
    <n v="509"/>
    <n v="63"/>
    <n v="85"/>
    <n v="14"/>
    <n v="3792"/>
    <x v="1"/>
  </r>
  <r>
    <x v="6"/>
    <s v="01234"/>
    <s v="สอ.ต.บางกระสั้น"/>
    <n v="7054"/>
    <n v="3397"/>
    <n v="601"/>
    <n v="88"/>
    <n v="123"/>
    <n v="20"/>
    <n v="11283"/>
    <x v="0"/>
  </r>
  <r>
    <x v="6"/>
    <s v="01235"/>
    <s v="สอ.ต.คลองจิก"/>
    <n v="4095"/>
    <n v="2725"/>
    <n v="405"/>
    <n v="51"/>
    <n v="85"/>
    <n v="9"/>
    <n v="7370"/>
    <x v="1"/>
  </r>
  <r>
    <x v="6"/>
    <s v="01236"/>
    <s v="สอ.ต.บ้านหว้า"/>
    <n v="1354"/>
    <n v="803"/>
    <n v="192"/>
    <n v="12"/>
    <n v="29"/>
    <n v="8"/>
    <n v="2398"/>
    <x v="2"/>
  </r>
  <r>
    <x v="6"/>
    <s v="01237"/>
    <s v="สอ.ต.วัดยม"/>
    <n v="1670"/>
    <n v="820"/>
    <n v="214"/>
    <n v="18"/>
    <n v="32"/>
    <n v="6"/>
    <n v="2760"/>
    <x v="2"/>
  </r>
  <r>
    <x v="6"/>
    <s v="01238"/>
    <s v="สอ.ต.บางประแดง"/>
    <n v="1213"/>
    <n v="593"/>
    <n v="159"/>
    <n v="21"/>
    <n v="22"/>
    <n v="7"/>
    <n v="2015"/>
    <x v="2"/>
  </r>
  <r>
    <x v="6"/>
    <s v="01239"/>
    <s v="สอ.ต.สามเรือน"/>
    <n v="2200"/>
    <n v="126"/>
    <n v="14"/>
    <n v="8"/>
    <n v="5"/>
    <n v="0"/>
    <n v="2353"/>
    <x v="2"/>
  </r>
  <r>
    <x v="6"/>
    <s v="01240"/>
    <s v="สอ.ต.เกาะเกิด"/>
    <n v="1181"/>
    <n v="717"/>
    <n v="106"/>
    <n v="14"/>
    <n v="25"/>
    <n v="1"/>
    <n v="2044"/>
    <x v="2"/>
  </r>
  <r>
    <x v="6"/>
    <s v="01241"/>
    <s v="สอ.ต.บ้านพลับ"/>
    <n v="1487"/>
    <n v="620"/>
    <n v="48"/>
    <n v="20"/>
    <n v="10"/>
    <n v="4"/>
    <n v="2189"/>
    <x v="2"/>
  </r>
  <r>
    <x v="6"/>
    <s v="01242"/>
    <s v="สอ.ต.บ้านแป้ง 2"/>
    <n v="808"/>
    <n v="143"/>
    <n v="41"/>
    <n v="1"/>
    <n v="6"/>
    <n v="1"/>
    <n v="1000"/>
    <x v="4"/>
  </r>
  <r>
    <x v="6"/>
    <s v="01243"/>
    <s v="สอ.ต.บ้านแป้ง 1"/>
    <n v="457"/>
    <n v="505"/>
    <n v="101"/>
    <n v="9"/>
    <n v="19"/>
    <n v="4"/>
    <n v="1095"/>
    <x v="3"/>
  </r>
  <r>
    <x v="6"/>
    <s v="01244"/>
    <s v="สอ.ต.คุ้งลาน"/>
    <n v="1541"/>
    <n v="695"/>
    <n v="126"/>
    <n v="17"/>
    <n v="32"/>
    <n v="1"/>
    <n v="2412"/>
    <x v="2"/>
  </r>
  <r>
    <x v="6"/>
    <s v="01245"/>
    <s v="สอ.ต.ตลิ่งชัน"/>
    <n v="818"/>
    <n v="494"/>
    <n v="154"/>
    <n v="9"/>
    <n v="19"/>
    <n v="4"/>
    <n v="1498"/>
    <x v="3"/>
  </r>
  <r>
    <x v="6"/>
    <s v="01246"/>
    <s v="สอ.บ้านลานเท"/>
    <n v="6055"/>
    <n v="1631"/>
    <n v="299"/>
    <n v="72"/>
    <n v="52"/>
    <n v="10"/>
    <n v="8119"/>
    <x v="0"/>
  </r>
  <r>
    <x v="6"/>
    <s v="01247"/>
    <s v="สอ.ต.ตลาดเกรียบ"/>
    <n v="1666"/>
    <n v="798"/>
    <n v="260"/>
    <n v="26"/>
    <n v="40"/>
    <n v="8"/>
    <n v="2798"/>
    <x v="2"/>
  </r>
  <r>
    <x v="6"/>
    <s v="01248"/>
    <s v="สอ.ต.ขนอนหลวง"/>
    <n v="945"/>
    <n v="506"/>
    <n v="131"/>
    <n v="6"/>
    <n v="19"/>
    <n v="2"/>
    <n v="1609"/>
    <x v="3"/>
  </r>
  <r>
    <x v="7"/>
    <s v="01249"/>
    <s v="สอ.อำเภอบางปะหัน"/>
    <n v="2220"/>
    <n v="869"/>
    <n v="362"/>
    <n v="56"/>
    <n v="59"/>
    <n v="4"/>
    <n v="3570"/>
    <x v="1"/>
  </r>
  <r>
    <x v="7"/>
    <s v="01250"/>
    <s v="สอ.ต.ขยาย"/>
    <n v="1010"/>
    <n v="500"/>
    <n v="141"/>
    <n v="5"/>
    <n v="20"/>
    <n v="3"/>
    <n v="1679"/>
    <x v="3"/>
  </r>
  <r>
    <x v="7"/>
    <s v="01251"/>
    <s v="สอ.ต.บางเดื่อ"/>
    <n v="2060"/>
    <n v="728"/>
    <n v="188"/>
    <n v="28"/>
    <n v="19"/>
    <n v="4"/>
    <n v="3027"/>
    <x v="1"/>
  </r>
  <r>
    <x v="7"/>
    <s v="01252"/>
    <s v="สอ.ต.เสาธง"/>
    <n v="1385"/>
    <n v="569"/>
    <n v="235"/>
    <n v="13"/>
    <n v="35"/>
    <n v="2"/>
    <n v="2239"/>
    <x v="2"/>
  </r>
  <r>
    <x v="7"/>
    <s v="01253"/>
    <s v="สอ.ต.ทางกลาง"/>
    <n v="1102"/>
    <n v="547"/>
    <n v="175"/>
    <n v="16"/>
    <n v="33"/>
    <n v="0"/>
    <n v="1873"/>
    <x v="3"/>
  </r>
  <r>
    <x v="7"/>
    <s v="01254"/>
    <s v="สอ.ต.บางเพลิง"/>
    <n v="841"/>
    <n v="446"/>
    <n v="78"/>
    <n v="12"/>
    <n v="17"/>
    <n v="0"/>
    <n v="1394"/>
    <x v="3"/>
  </r>
  <r>
    <x v="7"/>
    <s v="01255"/>
    <s v="สอ.ต.หันสัง"/>
    <n v="2356"/>
    <n v="967"/>
    <n v="252"/>
    <n v="18"/>
    <n v="43"/>
    <n v="9"/>
    <n v="3645"/>
    <x v="1"/>
  </r>
  <r>
    <x v="7"/>
    <s v="01256"/>
    <s v="สอ.ต.ตานิม"/>
    <n v="1162"/>
    <n v="407"/>
    <n v="131"/>
    <n v="12"/>
    <n v="18"/>
    <n v="2"/>
    <n v="1732"/>
    <x v="3"/>
  </r>
  <r>
    <x v="7"/>
    <s v="01257"/>
    <s v="สอ.ต.ทับน้ำ"/>
    <n v="1960"/>
    <n v="777"/>
    <n v="190"/>
    <n v="13"/>
    <n v="26"/>
    <n v="4"/>
    <n v="2970"/>
    <x v="2"/>
  </r>
  <r>
    <x v="7"/>
    <s v="01258"/>
    <s v="สอ.ต.บ้านม้า"/>
    <n v="990"/>
    <n v="445"/>
    <n v="82"/>
    <n v="9"/>
    <n v="8"/>
    <n v="0"/>
    <n v="1534"/>
    <x v="3"/>
  </r>
  <r>
    <x v="7"/>
    <s v="01259"/>
    <s v="สอ.ต.ขวัญเมือง"/>
    <n v="1676"/>
    <n v="741"/>
    <n v="403"/>
    <n v="39"/>
    <n v="46"/>
    <n v="6"/>
    <n v="2911"/>
    <x v="2"/>
  </r>
  <r>
    <x v="7"/>
    <s v="01260"/>
    <s v="สอ.ต.บ้านลี่"/>
    <n v="1313"/>
    <n v="557"/>
    <n v="149"/>
    <n v="13"/>
    <n v="21"/>
    <n v="3"/>
    <n v="2056"/>
    <x v="2"/>
  </r>
  <r>
    <x v="7"/>
    <s v="01261"/>
    <s v="สอ.ต.โพธิ์สามต้น"/>
    <n v="2292"/>
    <n v="842"/>
    <n v="237"/>
    <n v="25"/>
    <n v="35"/>
    <n v="2"/>
    <n v="3433"/>
    <x v="1"/>
  </r>
  <r>
    <x v="7"/>
    <s v="01262"/>
    <s v="สอ.ต.พุทเลา"/>
    <n v="1531"/>
    <n v="790"/>
    <n v="241"/>
    <n v="40"/>
    <n v="54"/>
    <n v="7"/>
    <n v="2663"/>
    <x v="2"/>
  </r>
  <r>
    <x v="7"/>
    <s v="01263"/>
    <s v="สอ.ต.ตาลเอน"/>
    <n v="585"/>
    <n v="257"/>
    <n v="59"/>
    <n v="2"/>
    <n v="10"/>
    <n v="2"/>
    <n v="915"/>
    <x v="4"/>
  </r>
  <r>
    <x v="7"/>
    <s v="01264"/>
    <s v="สอ.ต.บ้านขล้อ"/>
    <n v="1287"/>
    <n v="610"/>
    <n v="135"/>
    <n v="18"/>
    <n v="21"/>
    <n v="4"/>
    <n v="2075"/>
    <x v="2"/>
  </r>
  <r>
    <x v="8"/>
    <s v="01265"/>
    <s v="สอ.ต.ผักไห่(วัดราษฎร์นิยม)"/>
    <n v="2334"/>
    <n v="807"/>
    <n v="369"/>
    <n v="25"/>
    <n v="54"/>
    <n v="8"/>
    <n v="3597"/>
    <x v="1"/>
  </r>
  <r>
    <x v="8"/>
    <s v="01266"/>
    <s v="สอ.ต.อมฤต"/>
    <n v="1262"/>
    <n v="475"/>
    <n v="201"/>
    <n v="27"/>
    <n v="26"/>
    <n v="2"/>
    <n v="1993"/>
    <x v="3"/>
  </r>
  <r>
    <x v="8"/>
    <s v="01267"/>
    <s v="สอ.ต.บ้านแค"/>
    <n v="1789"/>
    <n v="747"/>
    <n v="245"/>
    <n v="23"/>
    <n v="37"/>
    <n v="6"/>
    <n v="2847"/>
    <x v="2"/>
  </r>
  <r>
    <x v="8"/>
    <s v="01268"/>
    <s v="สอ.ต.ลาดน้ำเค็ม"/>
    <n v="1236"/>
    <n v="576"/>
    <n v="139"/>
    <n v="25"/>
    <n v="34"/>
    <n v="2"/>
    <n v="2012"/>
    <x v="2"/>
  </r>
  <r>
    <x v="8"/>
    <s v="01269"/>
    <s v="สอ.ต.ท่าดินแดง"/>
    <n v="1048"/>
    <n v="528"/>
    <n v="161"/>
    <n v="38"/>
    <n v="20"/>
    <n v="7"/>
    <n v="1802"/>
    <x v="3"/>
  </r>
  <r>
    <x v="8"/>
    <s v="01270"/>
    <s v="สอ.ต.ดอนลาน"/>
    <n v="1241"/>
    <n v="418"/>
    <n v="92"/>
    <n v="3"/>
    <n v="10"/>
    <n v="2"/>
    <n v="1766"/>
    <x v="3"/>
  </r>
  <r>
    <x v="8"/>
    <s v="01271"/>
    <s v="สอ.ต.นาคู"/>
    <n v="1146"/>
    <n v="416"/>
    <n v="120"/>
    <n v="23"/>
    <n v="16"/>
    <n v="1"/>
    <n v="1722"/>
    <x v="3"/>
  </r>
  <r>
    <x v="8"/>
    <s v="01272"/>
    <s v="สอ.ต.กุฎี"/>
    <n v="1269"/>
    <n v="562"/>
    <n v="220"/>
    <n v="14"/>
    <n v="20"/>
    <n v="3"/>
    <n v="2088"/>
    <x v="2"/>
  </r>
  <r>
    <x v="8"/>
    <s v="01273"/>
    <s v="สอ.ต.ลำตะเคียน"/>
    <n v="832"/>
    <n v="284"/>
    <n v="49"/>
    <n v="7"/>
    <n v="8"/>
    <n v="1"/>
    <n v="1181"/>
    <x v="3"/>
  </r>
  <r>
    <x v="8"/>
    <s v="01274"/>
    <s v="สอ.ต.โคกช้าง"/>
    <n v="927"/>
    <n v="361"/>
    <n v="101"/>
    <n v="12"/>
    <n v="9.1999999999999993"/>
    <n v="0"/>
    <n v="1410.2"/>
    <x v="3"/>
  </r>
  <r>
    <x v="8"/>
    <s v="01275"/>
    <s v="สอ.ต.จักราช"/>
    <n v="1257"/>
    <n v="496"/>
    <n v="147"/>
    <n v="13"/>
    <n v="17"/>
    <n v="2"/>
    <n v="1932"/>
    <x v="3"/>
  </r>
  <r>
    <x v="8"/>
    <s v="01276"/>
    <s v="สอ.ต.หนองน้ำใหญ่"/>
    <n v="3839"/>
    <n v="1286"/>
    <n v="244"/>
    <n v="89"/>
    <n v="47"/>
    <n v="12"/>
    <n v="5517"/>
    <x v="1"/>
  </r>
  <r>
    <x v="8"/>
    <s v="01277"/>
    <s v="สอ.ต.ลาดชิด"/>
    <n v="2437"/>
    <n v="722"/>
    <n v="237"/>
    <n v="33"/>
    <n v="18"/>
    <n v="8"/>
    <n v="3455"/>
    <x v="1"/>
  </r>
  <r>
    <x v="8"/>
    <s v="01278"/>
    <s v="สอ.ต.หน้าโคก"/>
    <n v="1450"/>
    <n v="442"/>
    <n v="148"/>
    <n v="14"/>
    <n v="29"/>
    <n v="2"/>
    <n v="2085"/>
    <x v="2"/>
  </r>
  <r>
    <x v="8"/>
    <s v="01279"/>
    <s v="สอ.ต.บ้านใหญ่"/>
    <n v="1197"/>
    <n v="577"/>
    <n v="217"/>
    <n v="18"/>
    <n v="29"/>
    <n v="0"/>
    <n v="2038"/>
    <x v="2"/>
  </r>
  <r>
    <x v="9"/>
    <s v="01280"/>
    <s v="สอ.ต.โคกม่วง"/>
    <n v="1868"/>
    <n v="1196"/>
    <n v="258"/>
    <n v="31"/>
    <n v="53"/>
    <n v="4"/>
    <n v="3410"/>
    <x v="1"/>
  </r>
  <r>
    <x v="9"/>
    <s v="01281"/>
    <s v="สอ.ต.ระโสม"/>
    <n v="3077"/>
    <n v="1285"/>
    <n v="177"/>
    <n v="28"/>
    <n v="30"/>
    <n v="8"/>
    <n v="4605"/>
    <x v="1"/>
  </r>
  <r>
    <x v="9"/>
    <s v="01282"/>
    <s v="สอ.ต.หนองน้ำใส"/>
    <n v="1965"/>
    <n v="855"/>
    <n v="217"/>
    <n v="21"/>
    <n v="26"/>
    <n v="8"/>
    <n v="3092"/>
    <x v="1"/>
  </r>
  <r>
    <x v="9"/>
    <s v="01283"/>
    <s v="สอ.ต.ดอนหญ้านาง"/>
    <n v="1579"/>
    <n v="748"/>
    <n v="257"/>
    <n v="12"/>
    <n v="37"/>
    <n v="5"/>
    <n v="2638"/>
    <x v="2"/>
  </r>
  <r>
    <x v="9"/>
    <s v="01284"/>
    <s v="สอ.ต.ไผ่ล้อม"/>
    <n v="2099"/>
    <n v="1160"/>
    <n v="259"/>
    <n v="26"/>
    <n v="45"/>
    <n v="5"/>
    <n v="3594"/>
    <x v="1"/>
  </r>
  <r>
    <x v="9"/>
    <s v="01285"/>
    <s v="สอ.ต.กระจิว"/>
    <n v="2210"/>
    <n v="1134"/>
    <n v="170"/>
    <n v="24"/>
    <n v="34"/>
    <n v="8"/>
    <n v="3580"/>
    <x v="1"/>
  </r>
  <r>
    <x v="9"/>
    <s v="01286"/>
    <s v="สอ.ต.พระแก้ว"/>
    <n v="1546"/>
    <n v="730"/>
    <n v="115"/>
    <n v="10"/>
    <n v="15"/>
    <n v="3"/>
    <n v="2419"/>
    <x v="2"/>
  </r>
  <r>
    <x v="10"/>
    <s v="01287"/>
    <s v="สอ.ต.หลักชัย"/>
    <n v="3654"/>
    <n v="1112"/>
    <n v="232"/>
    <n v="44"/>
    <n v="36"/>
    <n v="12"/>
    <n v="5090"/>
    <x v="1"/>
  </r>
  <r>
    <x v="10"/>
    <s v="01288"/>
    <s v="สอ.ต.สามเมือง"/>
    <n v="2395"/>
    <n v="854"/>
    <n v="117"/>
    <n v="14"/>
    <n v="20"/>
    <n v="9"/>
    <n v="3409"/>
    <x v="1"/>
  </r>
  <r>
    <x v="10"/>
    <s v="01289"/>
    <s v="สอ.พระยาบันลือ"/>
    <n v="3077"/>
    <n v="938"/>
    <n v="227"/>
    <n v="10"/>
    <n v="38"/>
    <n v="6"/>
    <n v="4296"/>
    <x v="1"/>
  </r>
  <r>
    <x v="10"/>
    <s v="01290"/>
    <s v="สอ.ต.สิงหนาท"/>
    <n v="2366"/>
    <n v="801"/>
    <n v="131"/>
    <n v="19"/>
    <n v="16"/>
    <n v="3"/>
    <n v="3336"/>
    <x v="1"/>
  </r>
  <r>
    <x v="10"/>
    <s v="01291"/>
    <s v="สอ.สิงหนาท 2 (วัดหนองปลาดุก)"/>
    <n v="1658"/>
    <n v="759"/>
    <n v="146"/>
    <n v="32"/>
    <n v="29"/>
    <n v="5"/>
    <n v="2629"/>
    <x v="2"/>
  </r>
  <r>
    <x v="10"/>
    <s v="01292"/>
    <s v="สอ.ต.คู้สลอด"/>
    <n v="3047"/>
    <n v="804"/>
    <n v="147"/>
    <n v="60"/>
    <n v="23"/>
    <n v="6"/>
    <n v="4087"/>
    <x v="1"/>
  </r>
  <r>
    <x v="10"/>
    <s v="01293"/>
    <s v="สอ.ต.พระยาบันลือ"/>
    <n v="2400"/>
    <n v="759"/>
    <n v="198"/>
    <n v="10"/>
    <n v="13"/>
    <n v="2"/>
    <n v="3382"/>
    <x v="1"/>
  </r>
  <r>
    <x v="10"/>
    <s v="14915"/>
    <s v="สอ.ต.ลาดบัวหลวง"/>
    <n v="4846"/>
    <n v="1577"/>
    <n v="472"/>
    <n v="52"/>
    <n v="66"/>
    <n v="17"/>
    <n v="7030"/>
    <x v="1"/>
  </r>
  <r>
    <x v="11"/>
    <s v="01294"/>
    <s v="สอ.ต.วังน้อย"/>
    <n v="3035"/>
    <n v="1395"/>
    <n v="391"/>
    <n v="35"/>
    <n v="60"/>
    <n v="11"/>
    <n v="4927"/>
    <x v="1"/>
  </r>
  <r>
    <x v="11"/>
    <s v="01295"/>
    <s v="สอ.ต.ลำตาเสา"/>
    <n v="7462"/>
    <n v="4277"/>
    <n v="833"/>
    <n v="86"/>
    <n v="148"/>
    <n v="26"/>
    <n v="12832"/>
    <x v="0"/>
  </r>
  <r>
    <x v="11"/>
    <s v="01296"/>
    <s v="สอ.ต.บ่อตาโล่"/>
    <n v="5016"/>
    <n v="1846"/>
    <n v="274"/>
    <n v="15"/>
    <n v="45"/>
    <n v="13"/>
    <n v="7209"/>
    <x v="1"/>
  </r>
  <r>
    <x v="11"/>
    <s v="01297"/>
    <s v="สอ.บ้านหนองโสน"/>
    <n v="477"/>
    <n v="468"/>
    <n v="41"/>
    <n v="2"/>
    <n v="10"/>
    <n v="3"/>
    <n v="1001"/>
    <x v="3"/>
  </r>
  <r>
    <x v="11"/>
    <s v="01298"/>
    <s v="สอ.ต.สนับทึบ"/>
    <n v="2267"/>
    <n v="969"/>
    <n v="97"/>
    <n v="22"/>
    <n v="11"/>
    <n v="8"/>
    <n v="3374"/>
    <x v="1"/>
  </r>
  <r>
    <x v="11"/>
    <s v="01299"/>
    <s v="สอ.ต.พยอม"/>
    <n v="4925"/>
    <n v="3679"/>
    <n v="594"/>
    <n v="52"/>
    <n v="149"/>
    <n v="21"/>
    <n v="9420"/>
    <x v="0"/>
  </r>
  <r>
    <x v="11"/>
    <s v="01300"/>
    <s v="สอ.ต.หันตะเภา"/>
    <n v="2361"/>
    <n v="958"/>
    <n v="94"/>
    <n v="26"/>
    <n v="21"/>
    <n v="5"/>
    <n v="3465"/>
    <x v="1"/>
  </r>
  <r>
    <x v="11"/>
    <s v="01301"/>
    <s v="สอ.ต.วังจุฬา"/>
    <n v="2186"/>
    <n v="1102"/>
    <n v="175"/>
    <n v="35"/>
    <n v="32"/>
    <n v="8"/>
    <n v="3538"/>
    <x v="1"/>
  </r>
  <r>
    <x v="11"/>
    <s v="01302"/>
    <s v="สอ.ต.ข้าวงาม"/>
    <n v="1426"/>
    <n v="721"/>
    <n v="67"/>
    <n v="12"/>
    <n v="20"/>
    <n v="0"/>
    <n v="2246"/>
    <x v="2"/>
  </r>
  <r>
    <x v="11"/>
    <s v="01303"/>
    <s v="สอ.ต.ชะแมบ"/>
    <n v="4097"/>
    <n v="1558"/>
    <n v="175"/>
    <n v="20"/>
    <n v="35"/>
    <n v="2"/>
    <n v="5887"/>
    <x v="1"/>
  </r>
  <r>
    <x v="12"/>
    <s v="01321"/>
    <s v="สอ.ต.แก้วฟ้า"/>
    <n v="1271"/>
    <n v="476"/>
    <n v="99"/>
    <n v="14"/>
    <n v="15"/>
    <n v="3"/>
    <n v="1878"/>
    <x v="3"/>
  </r>
  <r>
    <x v="12"/>
    <s v="01322"/>
    <s v="สอ.ต.เต่าเล่า"/>
    <n v="1465"/>
    <n v="672"/>
    <n v="188"/>
    <n v="35"/>
    <n v="34"/>
    <n v="1"/>
    <n v="2395"/>
    <x v="2"/>
  </r>
  <r>
    <x v="12"/>
    <s v="01323"/>
    <s v="สอ.ทางหลวง"/>
    <n v="1150"/>
    <n v="494"/>
    <n v="68"/>
    <n v="4"/>
    <n v="15"/>
    <n v="1"/>
    <n v="1732"/>
    <x v="3"/>
  </r>
  <r>
    <x v="12"/>
    <s v="01324"/>
    <s v="สอ.ต.ปลายกลัด"/>
    <n v="1866"/>
    <n v="768"/>
    <n v="142"/>
    <n v="29"/>
    <n v="26"/>
    <n v="4"/>
    <n v="2835"/>
    <x v="2"/>
  </r>
  <r>
    <x v="12"/>
    <s v="01325"/>
    <s v="สอ.ต.เทพมงคล"/>
    <n v="2402"/>
    <n v="871"/>
    <n v="150"/>
    <n v="13"/>
    <n v="25"/>
    <n v="11"/>
    <n v="3472"/>
    <x v="1"/>
  </r>
  <r>
    <x v="12"/>
    <s v="01326"/>
    <s v="สอ.ต.วังพัฒนา"/>
    <n v="1068"/>
    <n v="306"/>
    <n v="71"/>
    <n v="7"/>
    <n v="9"/>
    <n v="3"/>
    <n v="1464"/>
    <x v="3"/>
  </r>
  <r>
    <x v="13"/>
    <s v="01327"/>
    <s v="สอ.อำเภออุทัย"/>
    <n v="4695"/>
    <n v="1671"/>
    <n v="501"/>
    <n v="60"/>
    <n v="70"/>
    <n v="10"/>
    <n v="7007"/>
    <x v="1"/>
  </r>
  <r>
    <x v="13"/>
    <s v="01328"/>
    <s v="สอ.ต.คานหาม"/>
    <n v="3742"/>
    <n v="1779"/>
    <n v="487"/>
    <n v="63"/>
    <n v="96"/>
    <n v="4"/>
    <n v="6171"/>
    <x v="1"/>
  </r>
  <r>
    <x v="13"/>
    <s v="01329"/>
    <s v="สอ.ต.บ้านช้าง"/>
    <n v="1912"/>
    <n v="668"/>
    <n v="86"/>
    <n v="12"/>
    <n v="17"/>
    <n v="4"/>
    <n v="2699"/>
    <x v="2"/>
  </r>
  <r>
    <x v="13"/>
    <s v="01330"/>
    <s v="สอ.ต.สามบัณฑิต"/>
    <n v="2694"/>
    <n v="1201"/>
    <n v="186"/>
    <n v="38"/>
    <n v="43"/>
    <n v="8"/>
    <n v="4170"/>
    <x v="1"/>
  </r>
  <r>
    <x v="13"/>
    <s v="01331"/>
    <s v="สอ.ต.บ้านหีบ"/>
    <n v="2395"/>
    <n v="1150"/>
    <n v="110"/>
    <n v="16"/>
    <n v="24"/>
    <n v="12"/>
    <n v="3707"/>
    <x v="1"/>
  </r>
  <r>
    <x v="13"/>
    <s v="01332"/>
    <s v="สอ.ต.หนองไม้ซุง"/>
    <n v="2001"/>
    <n v="726"/>
    <n v="104"/>
    <n v="27"/>
    <n v="12"/>
    <n v="4"/>
    <n v="2874"/>
    <x v="2"/>
  </r>
  <r>
    <x v="13"/>
    <s v="01333"/>
    <s v="สอ.ต.เสนา"/>
    <n v="1986"/>
    <n v="855"/>
    <n v="109"/>
    <n v="12"/>
    <n v="18"/>
    <n v="5"/>
    <n v="2985"/>
    <x v="2"/>
  </r>
  <r>
    <x v="13"/>
    <s v="01334"/>
    <s v="สอ.ต.หนองน้ำส้ม"/>
    <n v="1654"/>
    <n v="738"/>
    <n v="147"/>
    <n v="22"/>
    <n v="19"/>
    <n v="4"/>
    <n v="2584"/>
    <x v="2"/>
  </r>
  <r>
    <x v="13"/>
    <s v="01335"/>
    <s v="สอ.ต.โพสาวหาญ"/>
    <n v="2202"/>
    <n v="1115"/>
    <n v="145"/>
    <n v="32"/>
    <n v="32"/>
    <n v="1"/>
    <n v="3527"/>
    <x v="1"/>
  </r>
  <r>
    <x v="13"/>
    <s v="01336"/>
    <s v="สอ.ต.ธนู"/>
    <n v="3020"/>
    <n v="1302"/>
    <n v="692"/>
    <n v="64"/>
    <n v="82"/>
    <n v="8"/>
    <n v="5168"/>
    <x v="1"/>
  </r>
  <r>
    <x v="13"/>
    <s v="01337"/>
    <s v="สอ.ต.ข้าวเม่า"/>
    <n v="1402"/>
    <n v="610"/>
    <n v="208"/>
    <n v="25"/>
    <n v="26"/>
    <n v="4"/>
    <n v="2275"/>
    <x v="2"/>
  </r>
  <r>
    <x v="13"/>
    <s v="01338"/>
    <s v="สอ.บ้านหนองคัดเค้า"/>
    <n v="1254"/>
    <n v="584"/>
    <n v="177"/>
    <n v="12"/>
    <n v="20"/>
    <n v="6"/>
    <n v="2053"/>
    <x v="2"/>
  </r>
  <r>
    <x v="14"/>
    <s v="01339"/>
    <s v="สอ.ต.มหาราช"/>
    <n v="761"/>
    <n v="458"/>
    <n v="260"/>
    <n v="46"/>
    <n v="40"/>
    <n v="3"/>
    <n v="1568"/>
    <x v="3"/>
  </r>
  <r>
    <x v="14"/>
    <s v="01340"/>
    <s v="สอ.ต.กระทุ่ม"/>
    <n v="480"/>
    <n v="34"/>
    <n v="23"/>
    <n v="1"/>
    <n v="1"/>
    <n v="0"/>
    <n v="539"/>
    <x v="4"/>
  </r>
  <r>
    <x v="14"/>
    <s v="01341"/>
    <s v="สอ.บ้านหนองจิก"/>
    <n v="260"/>
    <n v="346"/>
    <n v="79"/>
    <n v="16"/>
    <n v="7"/>
    <n v="0"/>
    <n v="708"/>
    <x v="4"/>
  </r>
  <r>
    <x v="14"/>
    <s v="01342"/>
    <s v="สอ.ต.น้ำเต้า"/>
    <n v="760"/>
    <n v="313"/>
    <n v="107"/>
    <n v="18"/>
    <n v="11"/>
    <n v="0"/>
    <n v="1209"/>
    <x v="3"/>
  </r>
  <r>
    <x v="14"/>
    <s v="01343"/>
    <s v="สอ.ต.บางนา"/>
    <n v="1092"/>
    <n v="478"/>
    <n v="177"/>
    <n v="30"/>
    <n v="27"/>
    <n v="3"/>
    <n v="1807"/>
    <x v="3"/>
  </r>
  <r>
    <x v="14"/>
    <s v="01344"/>
    <s v="สอ.ต.โรงช้าง"/>
    <n v="962"/>
    <n v="386"/>
    <n v="207"/>
    <n v="24"/>
    <n v="19"/>
    <n v="1"/>
    <n v="1599"/>
    <x v="3"/>
  </r>
  <r>
    <x v="14"/>
    <s v="01345"/>
    <s v="สอ.ต.เจ้าปลุก"/>
    <n v="840"/>
    <n v="348"/>
    <n v="157"/>
    <n v="12"/>
    <n v="18"/>
    <n v="2"/>
    <n v="1377"/>
    <x v="3"/>
  </r>
  <r>
    <x v="14"/>
    <s v="01346"/>
    <s v="สอ.ต.พิตเพียน"/>
    <n v="894"/>
    <n v="428"/>
    <n v="210"/>
    <n v="37"/>
    <n v="26"/>
    <n v="1"/>
    <n v="1596"/>
    <x v="3"/>
  </r>
  <r>
    <x v="14"/>
    <s v="01347"/>
    <s v="สอ.ต.บ้านนา"/>
    <n v="2246"/>
    <n v="837"/>
    <n v="277"/>
    <n v="33"/>
    <n v="42"/>
    <n v="6"/>
    <n v="3441"/>
    <x v="1"/>
  </r>
  <r>
    <x v="14"/>
    <s v="01348"/>
    <s v="สอ.ต.บ้านขวาง"/>
    <n v="1153"/>
    <n v="475"/>
    <n v="227"/>
    <n v="30"/>
    <n v="28"/>
    <n v="5"/>
    <n v="1918"/>
    <x v="3"/>
  </r>
  <r>
    <x v="14"/>
    <s v="01349"/>
    <s v="สอ.ต.ท่าตอ"/>
    <n v="1337"/>
    <n v="490"/>
    <n v="174"/>
    <n v="34"/>
    <n v="35"/>
    <n v="3"/>
    <n v="2073"/>
    <x v="2"/>
  </r>
  <r>
    <x v="14"/>
    <s v="01350"/>
    <s v="สอ.ต.บ้านใหม่"/>
    <n v="1233"/>
    <n v="569"/>
    <n v="159"/>
    <n v="27"/>
    <n v="30"/>
    <n v="2"/>
    <n v="2020"/>
    <x v="2"/>
  </r>
  <r>
    <x v="15"/>
    <s v="01351"/>
    <s v="สอ.ต.บ้านแพรก"/>
    <n v="1159"/>
    <n v="416"/>
    <n v="316"/>
    <n v="65"/>
    <n v="45"/>
    <n v="5"/>
    <n v="2006"/>
    <x v="2"/>
  </r>
  <r>
    <x v="15"/>
    <s v="01352"/>
    <s v="สอ.ต.สำพะเนียง"/>
    <n v="1503"/>
    <n v="556"/>
    <n v="242"/>
    <n v="35"/>
    <n v="35"/>
    <n v="21"/>
    <n v="2392"/>
    <x v="2"/>
  </r>
  <r>
    <x v="15"/>
    <s v="01353"/>
    <s v="สอ.ต.คลองน้อย"/>
    <n v="789"/>
    <n v="349"/>
    <n v="97"/>
    <n v="13"/>
    <n v="14"/>
    <n v="2"/>
    <n v="1264"/>
    <x v="3"/>
  </r>
  <r>
    <x v="15"/>
    <s v="01354"/>
    <s v="สอ.ต.สองห้อง"/>
    <n v="853"/>
    <n v="396"/>
    <n v="96"/>
    <n v="5"/>
    <n v="14"/>
    <n v="3"/>
    <n v="1367"/>
    <x v="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05">
  <r>
    <x v="0"/>
    <s v="01149"/>
    <s v="สอ.วัดพระญาติการาม"/>
    <n v="5024"/>
    <n v="2158"/>
    <n v="1086"/>
    <n v="88"/>
    <n v="140"/>
    <n v="49"/>
    <n v="8545"/>
    <x v="0"/>
    <m/>
    <m/>
    <m/>
    <n v="360000"/>
    <m/>
  </r>
  <r>
    <x v="0"/>
    <s v="01150"/>
    <s v="สอ.ต.ไผ่ลิง"/>
    <n v="4383"/>
    <n v="1938"/>
    <n v="732"/>
    <n v="64"/>
    <n v="87"/>
    <n v="12"/>
    <n v="7216"/>
    <x v="1"/>
    <m/>
    <m/>
    <m/>
    <n v="330000"/>
    <m/>
  </r>
  <r>
    <x v="0"/>
    <s v="01151"/>
    <s v="สอ.ต.ปากกราน"/>
    <n v="3924"/>
    <n v="1500"/>
    <n v="557"/>
    <n v="60"/>
    <n v="96"/>
    <n v="4"/>
    <n v="6141"/>
    <x v="1"/>
    <m/>
    <m/>
    <m/>
    <n v="330000"/>
    <m/>
  </r>
  <r>
    <x v="0"/>
    <s v="01152"/>
    <s v="สอ.ต.ภูเขาทอง"/>
    <n v="1972"/>
    <n v="605"/>
    <n v="162"/>
    <n v="16"/>
    <n v="25"/>
    <n v="7"/>
    <n v="2787"/>
    <x v="2"/>
    <m/>
    <m/>
    <m/>
    <n v="300000"/>
    <m/>
  </r>
  <r>
    <x v="0"/>
    <s v="01153"/>
    <s v="สอ.ต.สำเภาล่ม"/>
    <n v="4592"/>
    <n v="1732"/>
    <n v="399"/>
    <n v="72"/>
    <n v="91"/>
    <n v="13"/>
    <n v="6899"/>
    <x v="1"/>
    <m/>
    <m/>
    <m/>
    <n v="330000"/>
    <m/>
  </r>
  <r>
    <x v="0"/>
    <s v="01154"/>
    <s v="สอ.บ้านเพนียด"/>
    <n v="1723"/>
    <n v="629"/>
    <n v="189"/>
    <n v="8"/>
    <n v="22"/>
    <n v="2"/>
    <n v="2573"/>
    <x v="2"/>
    <m/>
    <m/>
    <m/>
    <n v="300000"/>
    <m/>
  </r>
  <r>
    <x v="0"/>
    <s v="01155"/>
    <s v="สอ.ต.สวนพริก"/>
    <n v="1324"/>
    <n v="390"/>
    <n v="106"/>
    <n v="20"/>
    <n v="17"/>
    <n v="2"/>
    <n v="1859"/>
    <x v="2"/>
    <m/>
    <m/>
    <m/>
    <n v="300000"/>
    <m/>
  </r>
  <r>
    <x v="0"/>
    <s v="01156"/>
    <s v="สอ.ต.คลองตะเคียน"/>
    <n v="3353"/>
    <n v="1250"/>
    <n v="336"/>
    <n v="33"/>
    <n v="102"/>
    <n v="9"/>
    <n v="5083"/>
    <x v="1"/>
    <m/>
    <m/>
    <m/>
    <n v="330000"/>
    <m/>
  </r>
  <r>
    <x v="0"/>
    <s v="01157"/>
    <s v="สอ.ต.วัดตูม"/>
    <n v="2507"/>
    <n v="1053"/>
    <n v="700"/>
    <n v="39"/>
    <n v="60"/>
    <n v="14"/>
    <n v="4373"/>
    <x v="1"/>
    <m/>
    <m/>
    <m/>
    <n v="330000"/>
    <m/>
  </r>
  <r>
    <x v="0"/>
    <s v="01158"/>
    <s v="สอ.ต.หันตรา"/>
    <n v="3521"/>
    <n v="484"/>
    <n v="270"/>
    <n v="32"/>
    <n v="32"/>
    <n v="0"/>
    <n v="4339"/>
    <x v="1"/>
    <m/>
    <m/>
    <m/>
    <n v="330000"/>
    <m/>
  </r>
  <r>
    <x v="0"/>
    <s v="01159"/>
    <s v="สอ.ต.ลุมพลี"/>
    <n v="4073"/>
    <n v="1077"/>
    <n v="268"/>
    <n v="29"/>
    <n v="32"/>
    <n v="12"/>
    <n v="5491"/>
    <x v="1"/>
    <m/>
    <m/>
    <m/>
    <n v="330000"/>
    <m/>
  </r>
  <r>
    <x v="0"/>
    <s v="01160"/>
    <s v="สอ.ต.บ้านใหม่"/>
    <n v="3743"/>
    <n v="1157"/>
    <n v="315"/>
    <n v="26"/>
    <n v="53"/>
    <n v="10"/>
    <n v="5304"/>
    <x v="1"/>
    <m/>
    <m/>
    <m/>
    <n v="330000"/>
    <m/>
  </r>
  <r>
    <x v="0"/>
    <s v="01161"/>
    <s v="สอ.ต.บ้านเกาะ"/>
    <n v="3106"/>
    <n v="1368"/>
    <n v="690"/>
    <n v="58"/>
    <n v="94"/>
    <n v="9"/>
    <n v="5325"/>
    <x v="1"/>
    <m/>
    <m/>
    <m/>
    <n v="330000"/>
    <m/>
  </r>
  <r>
    <x v="0"/>
    <s v="01162"/>
    <s v="สอ.ต.คลองสวนพลู"/>
    <n v="3834"/>
    <n v="1953"/>
    <n v="1108"/>
    <n v="128"/>
    <n v="117"/>
    <n v="14"/>
    <n v="7154"/>
    <x v="1"/>
    <m/>
    <m/>
    <m/>
    <n v="330000"/>
    <m/>
  </r>
  <r>
    <x v="0"/>
    <s v="01163"/>
    <s v="สอ.ต.คลองสระบัว"/>
    <n v="2613"/>
    <n v="997"/>
    <n v="390"/>
    <n v="61"/>
    <n v="53"/>
    <n v="8"/>
    <n v="4122"/>
    <x v="1"/>
    <m/>
    <m/>
    <m/>
    <n v="330000"/>
    <m/>
  </r>
  <r>
    <x v="0"/>
    <s v="01164"/>
    <s v="สอ.ต.เกาะเรียน"/>
    <n v="1466"/>
    <n v="822"/>
    <n v="228"/>
    <n v="25"/>
    <n v="32"/>
    <n v="8"/>
    <n v="2581"/>
    <x v="2"/>
    <m/>
    <m/>
    <m/>
    <n v="300000"/>
    <m/>
  </r>
  <r>
    <x v="0"/>
    <s v="01165"/>
    <s v="สอ.ต.บ้านป้อม"/>
    <n v="4101"/>
    <n v="1742"/>
    <n v="763"/>
    <n v="81"/>
    <n v="89"/>
    <n v="14"/>
    <n v="6790"/>
    <x v="1"/>
    <m/>
    <m/>
    <m/>
    <n v="330000"/>
    <m/>
  </r>
  <r>
    <x v="0"/>
    <s v="01166"/>
    <s v="สอ.ต.บ้านรุน"/>
    <n v="837"/>
    <n v="434"/>
    <n v="95"/>
    <n v="11"/>
    <n v="18"/>
    <n v="0"/>
    <n v="1395"/>
    <x v="2"/>
    <m/>
    <m/>
    <m/>
    <n v="300000"/>
    <m/>
  </r>
  <r>
    <x v="1"/>
    <s v="01304"/>
    <s v="สอ.ต.บ้านแพน"/>
    <n v="1922"/>
    <n v="1676"/>
    <n v="667"/>
    <n v="163"/>
    <n v="95"/>
    <n v="11"/>
    <n v="4534"/>
    <x v="1"/>
    <m/>
    <m/>
    <m/>
    <n v="330000"/>
    <m/>
  </r>
  <r>
    <x v="1"/>
    <s v="01305"/>
    <s v="สอ.ต.เจ้าเจ็ด"/>
    <n v="2644"/>
    <n v="1030"/>
    <n v="370"/>
    <n v="110"/>
    <n v="62"/>
    <n v="9"/>
    <n v="4225"/>
    <x v="1"/>
    <m/>
    <m/>
    <m/>
    <n v="330000"/>
    <m/>
  </r>
  <r>
    <x v="1"/>
    <s v="01306"/>
    <s v="สอ.ต.สามกอ"/>
    <n v="4269"/>
    <n v="1509"/>
    <n v="455"/>
    <n v="100"/>
    <n v="50"/>
    <n v="9"/>
    <n v="6392"/>
    <x v="1"/>
    <m/>
    <m/>
    <m/>
    <n v="330000"/>
    <m/>
  </r>
  <r>
    <x v="1"/>
    <s v="01308"/>
    <s v="สอ.ต.หัวเวียง"/>
    <n v="2070"/>
    <n v="1132"/>
    <n v="323"/>
    <n v="79"/>
    <n v="51"/>
    <n v="6"/>
    <n v="3661"/>
    <x v="1"/>
    <m/>
    <m/>
    <m/>
    <n v="330000"/>
    <m/>
  </r>
  <r>
    <x v="1"/>
    <s v="01309"/>
    <s v="สอ.ต.มารวิชัย"/>
    <n v="2010"/>
    <n v="538"/>
    <n v="128"/>
    <n v="16"/>
    <n v="18"/>
    <n v="1"/>
    <n v="2711"/>
    <x v="2"/>
    <m/>
    <m/>
    <m/>
    <n v="300000"/>
    <m/>
  </r>
  <r>
    <x v="1"/>
    <s v="01310"/>
    <s v="สอ.ต.บ้านโพธิ์"/>
    <n v="2311"/>
    <n v="903"/>
    <n v="270"/>
    <n v="43"/>
    <n v="42"/>
    <n v="4"/>
    <n v="3573"/>
    <x v="1"/>
    <m/>
    <m/>
    <m/>
    <n v="330000"/>
    <m/>
  </r>
  <r>
    <x v="1"/>
    <s v="01311"/>
    <s v="สอ.ต.รางจรเข้"/>
    <n v="1662"/>
    <n v="771"/>
    <n v="168"/>
    <n v="27"/>
    <n v="28"/>
    <n v="3"/>
    <n v="2659"/>
    <x v="2"/>
    <m/>
    <m/>
    <m/>
    <n v="300000"/>
    <m/>
  </r>
  <r>
    <x v="1"/>
    <s v="01312"/>
    <s v="สอ.ต.บ้านกระทุ่ม"/>
    <n v="1143"/>
    <n v="572"/>
    <n v="166"/>
    <n v="21"/>
    <n v="21"/>
    <n v="3"/>
    <n v="1926"/>
    <x v="2"/>
    <m/>
    <m/>
    <m/>
    <n v="300000"/>
    <m/>
  </r>
  <r>
    <x v="1"/>
    <s v="01313"/>
    <s v="สอ.ต.บ้านแถว"/>
    <n v="2857"/>
    <n v="1137"/>
    <n v="219"/>
    <n v="52"/>
    <n v="38"/>
    <n v="4"/>
    <n v="4307"/>
    <x v="1"/>
    <m/>
    <m/>
    <m/>
    <n v="330000"/>
    <m/>
  </r>
  <r>
    <x v="1"/>
    <s v="01314"/>
    <s v="สอ.ต.ชายนา"/>
    <n v="3218"/>
    <n v="1032"/>
    <n v="249"/>
    <n v="47"/>
    <n v="44"/>
    <n v="10"/>
    <n v="4600"/>
    <x v="1"/>
    <m/>
    <m/>
    <m/>
    <n v="330000"/>
    <m/>
  </r>
  <r>
    <x v="1"/>
    <s v="01315"/>
    <s v="สอ.ต.สามตุ่ม"/>
    <n v="3297"/>
    <n v="1190"/>
    <n v="208"/>
    <n v="26"/>
    <n v="27"/>
    <n v="4"/>
    <n v="4752"/>
    <x v="1"/>
    <m/>
    <m/>
    <m/>
    <n v="330000"/>
    <m/>
  </r>
  <r>
    <x v="1"/>
    <s v="01316"/>
    <s v="สอ.ต.ลาดงา"/>
    <n v="2097"/>
    <n v="952"/>
    <n v="155"/>
    <n v="16"/>
    <n v="19"/>
    <n v="6"/>
    <n v="3245"/>
    <x v="1"/>
    <m/>
    <m/>
    <m/>
    <n v="330000"/>
    <m/>
  </r>
  <r>
    <x v="1"/>
    <s v="01317"/>
    <s v="สอ.ต.ดอนทอง"/>
    <n v="1734"/>
    <n v="494"/>
    <n v="88"/>
    <n v="33"/>
    <n v="6"/>
    <n v="4"/>
    <n v="2359"/>
    <x v="2"/>
    <m/>
    <m/>
    <m/>
    <n v="300000"/>
    <m/>
  </r>
  <r>
    <x v="1"/>
    <s v="01318"/>
    <s v="สอ.ต.บ้านหลวง"/>
    <n v="1768"/>
    <n v="732"/>
    <n v="110"/>
    <n v="24"/>
    <n v="15"/>
    <n v="5"/>
    <n v="2654"/>
    <x v="2"/>
    <m/>
    <m/>
    <m/>
    <n v="300000"/>
    <m/>
  </r>
  <r>
    <x v="1"/>
    <s v="01319"/>
    <s v="สอ.ต.เจ้าเสด็จ"/>
    <n v="1589"/>
    <n v="782"/>
    <n v="171"/>
    <n v="68"/>
    <n v="46"/>
    <n v="3"/>
    <n v="2659"/>
    <x v="2"/>
    <m/>
    <m/>
    <m/>
    <n v="300000"/>
    <m/>
  </r>
  <r>
    <x v="2"/>
    <s v="01167"/>
    <s v="สอ.ต.จำปา"/>
    <n v="1697"/>
    <n v="796"/>
    <n v="143"/>
    <n v="23"/>
    <n v="30"/>
    <n v="9"/>
    <n v="2698"/>
    <x v="2"/>
    <m/>
    <m/>
    <m/>
    <n v="300000"/>
    <m/>
  </r>
  <r>
    <x v="2"/>
    <s v="01168"/>
    <s v="สอ.ต.ท่าหลวง"/>
    <n v="1926"/>
    <n v="949"/>
    <n v="225"/>
    <n v="28"/>
    <n v="48"/>
    <n v="10"/>
    <n v="3186"/>
    <x v="1"/>
    <m/>
    <m/>
    <m/>
    <n v="330000"/>
    <m/>
  </r>
  <r>
    <x v="2"/>
    <s v="01169"/>
    <s v="สอ.บ้านดอนประดู่"/>
    <n v="850"/>
    <n v="404"/>
    <n v="98"/>
    <n v="17"/>
    <n v="16"/>
    <n v="1"/>
    <n v="1386"/>
    <x v="2"/>
    <m/>
    <m/>
    <m/>
    <n v="300000"/>
    <m/>
  </r>
  <r>
    <x v="2"/>
    <s v="01170"/>
    <s v="สอ.ต.บ้านร่อม"/>
    <n v="1019"/>
    <n v="451"/>
    <n v="77"/>
    <n v="8"/>
    <n v="19"/>
    <n v="3"/>
    <n v="1577"/>
    <x v="2"/>
    <m/>
    <m/>
    <m/>
    <n v="300000"/>
    <m/>
  </r>
  <r>
    <x v="2"/>
    <s v="01171"/>
    <s v="สอ.ต.ศาลาลอย"/>
    <n v="1342"/>
    <n v="684"/>
    <n v="122"/>
    <n v="21"/>
    <n v="24"/>
    <n v="4"/>
    <n v="2197"/>
    <x v="2"/>
    <m/>
    <m/>
    <m/>
    <n v="300000"/>
    <m/>
  </r>
  <r>
    <x v="2"/>
    <s v="01172"/>
    <s v="สอ.บ้านศาลาลอย"/>
    <n v="1436"/>
    <n v="749"/>
    <n v="109"/>
    <n v="29"/>
    <n v="19"/>
    <n v="6"/>
    <n v="2348"/>
    <x v="2"/>
    <m/>
    <m/>
    <m/>
    <n v="300000"/>
    <m/>
  </r>
  <r>
    <x v="2"/>
    <s v="01173"/>
    <s v="สอ.ต.วังแดง"/>
    <n v="1903"/>
    <n v="861"/>
    <n v="226"/>
    <n v="22"/>
    <n v="44"/>
    <n v="5"/>
    <n v="3061"/>
    <x v="1"/>
    <m/>
    <m/>
    <m/>
    <n v="330000"/>
    <m/>
  </r>
  <r>
    <x v="2"/>
    <s v="01174"/>
    <s v="สอ.ต.โพธิ์เอน"/>
    <n v="875"/>
    <n v="480"/>
    <n v="81"/>
    <n v="25"/>
    <n v="16"/>
    <n v="8"/>
    <n v="1485"/>
    <x v="2"/>
    <m/>
    <m/>
    <m/>
    <n v="300000"/>
    <m/>
  </r>
  <r>
    <x v="2"/>
    <s v="01175"/>
    <s v="สอ.ต.โพธิ์เอน"/>
    <n v="1007"/>
    <n v="485"/>
    <n v="77"/>
    <n v="18"/>
    <n v="13"/>
    <n v="3"/>
    <n v="1603"/>
    <x v="2"/>
    <m/>
    <m/>
    <m/>
    <n v="300000"/>
    <m/>
  </r>
  <r>
    <x v="2"/>
    <s v="01176"/>
    <s v="สอ.ต.ปากท่า"/>
    <n v="1641"/>
    <n v="870"/>
    <n v="206"/>
    <n v="27"/>
    <n v="30"/>
    <n v="6"/>
    <n v="2780"/>
    <x v="2"/>
    <m/>
    <m/>
    <m/>
    <n v="300000"/>
    <m/>
  </r>
  <r>
    <x v="2"/>
    <s v="01177"/>
    <s v="สอ.ต.หนองขนาก"/>
    <n v="2447"/>
    <n v="1329"/>
    <n v="359"/>
    <n v="38"/>
    <n v="50"/>
    <n v="10"/>
    <n v="4233"/>
    <x v="1"/>
    <m/>
    <m/>
    <m/>
    <n v="330000"/>
    <m/>
  </r>
  <r>
    <x v="2"/>
    <s v="01178"/>
    <s v="สอ.ต.ท่าเจ้าสนุก"/>
    <n v="2180"/>
    <n v="1031"/>
    <n v="268"/>
    <n v="49"/>
    <n v="47"/>
    <n v="9"/>
    <n v="3584"/>
    <x v="1"/>
    <m/>
    <m/>
    <m/>
    <n v="330000"/>
    <m/>
  </r>
  <r>
    <x v="3"/>
    <s v="01179"/>
    <s v="สอ.เฉลิมพระเกียรติ 60 พรรษา นวมินทราชินี"/>
    <n v="2609"/>
    <n v="1347"/>
    <n v="539"/>
    <n v="68"/>
    <n v="61"/>
    <n v="9"/>
    <n v="4633"/>
    <x v="1"/>
    <m/>
    <m/>
    <m/>
    <n v="330000"/>
    <m/>
  </r>
  <r>
    <x v="3"/>
    <s v="01180"/>
    <s v="สอ.ต.ท่าช้าง"/>
    <n v="2847"/>
    <n v="1096"/>
    <n v="298"/>
    <n v="75"/>
    <n v="50"/>
    <n v="9"/>
    <n v="4375"/>
    <x v="1"/>
    <m/>
    <m/>
    <m/>
    <n v="330000"/>
    <m/>
  </r>
  <r>
    <x v="3"/>
    <s v="01181"/>
    <s v="สอ.ต.บ่อโพง"/>
    <n v="3550"/>
    <n v="494"/>
    <n v="93"/>
    <n v="8"/>
    <n v="14"/>
    <n v="6"/>
    <n v="4165"/>
    <x v="1"/>
    <m/>
    <m/>
    <m/>
    <n v="330000"/>
    <m/>
  </r>
  <r>
    <x v="3"/>
    <s v="01182"/>
    <s v="สอ.ต.บ้านชุ้ง"/>
    <n v="2236"/>
    <n v="1017"/>
    <n v="247"/>
    <n v="18"/>
    <n v="35"/>
    <n v="3"/>
    <n v="3556"/>
    <x v="1"/>
    <m/>
    <m/>
    <m/>
    <n v="330000"/>
    <m/>
  </r>
  <r>
    <x v="3"/>
    <s v="01183"/>
    <s v="สอ.ต.ปากจั่น"/>
    <n v="2190"/>
    <n v="1052"/>
    <n v="162"/>
    <n v="35"/>
    <n v="34"/>
    <n v="5"/>
    <n v="3478"/>
    <x v="1"/>
    <m/>
    <m/>
    <m/>
    <n v="330000"/>
    <m/>
  </r>
  <r>
    <x v="3"/>
    <s v="01184"/>
    <s v="สอ.ต.บางระกำ"/>
    <n v="1763"/>
    <n v="867"/>
    <n v="223"/>
    <n v="39"/>
    <n v="34"/>
    <n v="4"/>
    <n v="2930"/>
    <x v="2"/>
    <m/>
    <m/>
    <m/>
    <n v="300000"/>
    <m/>
  </r>
  <r>
    <x v="3"/>
    <s v="01185"/>
    <s v="สอ.ต.บางพระครู"/>
    <n v="1342"/>
    <n v="680"/>
    <n v="126"/>
    <n v="18"/>
    <n v="23"/>
    <n v="3"/>
    <n v="2192"/>
    <x v="2"/>
    <m/>
    <m/>
    <m/>
    <n v="300000"/>
    <m/>
  </r>
  <r>
    <x v="3"/>
    <s v="01186"/>
    <s v="สอ.ต.แม่ลา"/>
    <n v="1082"/>
    <n v="508"/>
    <n v="190"/>
    <n v="16"/>
    <n v="18"/>
    <n v="2"/>
    <n v="1816"/>
    <x v="2"/>
    <m/>
    <m/>
    <m/>
    <n v="300000"/>
    <m/>
  </r>
  <r>
    <x v="3"/>
    <s v="01187"/>
    <s v="สอ.ต.หนองปลิง"/>
    <n v="1313"/>
    <n v="621"/>
    <n v="119"/>
    <n v="9"/>
    <n v="11"/>
    <n v="3"/>
    <n v="2076"/>
    <x v="2"/>
    <m/>
    <m/>
    <m/>
    <n v="300000"/>
    <m/>
  </r>
  <r>
    <x v="3"/>
    <s v="01188"/>
    <s v="สอ.ต.คลองสะแก"/>
    <n v="1329"/>
    <n v="760"/>
    <n v="143"/>
    <n v="13"/>
    <n v="25"/>
    <n v="2"/>
    <n v="2272"/>
    <x v="2"/>
    <m/>
    <m/>
    <m/>
    <n v="300000"/>
    <m/>
  </r>
  <r>
    <x v="3"/>
    <s v="01189"/>
    <s v="สอ.ต.สามไถ"/>
    <n v="770"/>
    <n v="349"/>
    <n v="83"/>
    <n v="20"/>
    <n v="20"/>
    <n v="4"/>
    <n v="1246"/>
    <x v="2"/>
    <m/>
    <m/>
    <m/>
    <n v="300000"/>
    <m/>
  </r>
  <r>
    <x v="3"/>
    <s v="01190"/>
    <s v="สอ.ต.พระนอน"/>
    <n v="1171"/>
    <n v="578"/>
    <n v="175"/>
    <n v="10"/>
    <n v="22"/>
    <n v="1"/>
    <n v="1957"/>
    <x v="2"/>
    <m/>
    <m/>
    <m/>
    <n v="300000"/>
    <m/>
  </r>
  <r>
    <x v="4"/>
    <s v="01191"/>
    <s v="สอ.ต.บางพลี"/>
    <n v="1805"/>
    <n v="616"/>
    <n v="85"/>
    <n v="12"/>
    <n v="20"/>
    <n v="3"/>
    <n v="2541"/>
    <x v="2"/>
    <m/>
    <m/>
    <m/>
    <n v="300000"/>
    <m/>
  </r>
  <r>
    <x v="4"/>
    <s v="01192"/>
    <s v="สอ.ต.สนามไชย"/>
    <n v="1492"/>
    <n v="852"/>
    <n v="140"/>
    <n v="22"/>
    <n v="24"/>
    <n v="8"/>
    <n v="2538"/>
    <x v="2"/>
    <m/>
    <m/>
    <m/>
    <n v="300000"/>
    <m/>
  </r>
  <r>
    <x v="4"/>
    <s v="01193"/>
    <s v="สอ.ต.บ้านแป้ง"/>
    <n v="440"/>
    <n v="228"/>
    <n v="74"/>
    <n v="15"/>
    <n v="11"/>
    <n v="0"/>
    <n v="768"/>
    <x v="2"/>
    <m/>
    <m/>
    <m/>
    <n v="300000"/>
    <m/>
  </r>
  <r>
    <x v="4"/>
    <s v="01194"/>
    <s v="สอ.ต.หน้าไม้"/>
    <n v="519"/>
    <n v="220"/>
    <n v="80"/>
    <n v="11"/>
    <n v="11"/>
    <n v="2"/>
    <n v="843"/>
    <x v="2"/>
    <m/>
    <m/>
    <m/>
    <n v="300000"/>
    <m/>
  </r>
  <r>
    <x v="4"/>
    <s v="01195"/>
    <s v="สอ.ต.บางยี่โท"/>
    <n v="788"/>
    <n v="466"/>
    <n v="122"/>
    <n v="19"/>
    <n v="29"/>
    <n v="4"/>
    <n v="1428"/>
    <x v="2"/>
    <m/>
    <m/>
    <m/>
    <n v="300000"/>
    <m/>
  </r>
  <r>
    <x v="4"/>
    <s v="01196"/>
    <s v="สอ.ต.แคออก"/>
    <n v="491"/>
    <n v="288"/>
    <n v="57"/>
    <n v="10"/>
    <n v="11"/>
    <n v="0"/>
    <n v="857"/>
    <x v="2"/>
    <m/>
    <m/>
    <m/>
    <n v="300000"/>
    <m/>
  </r>
  <r>
    <x v="4"/>
    <s v="01197"/>
    <s v="สอ.ต.แคตก"/>
    <n v="707"/>
    <n v="313"/>
    <n v="66"/>
    <n v="11"/>
    <n v="16"/>
    <n v="2"/>
    <n v="1115"/>
    <x v="2"/>
    <m/>
    <m/>
    <m/>
    <n v="300000"/>
    <m/>
  </r>
  <r>
    <x v="4"/>
    <s v="01198"/>
    <s v="สอ.ต.ช่างเหล็ก"/>
    <n v="813"/>
    <n v="488"/>
    <n v="73"/>
    <n v="5"/>
    <n v="19"/>
    <n v="1"/>
    <n v="1399"/>
    <x v="2"/>
    <m/>
    <m/>
    <m/>
    <n v="300000"/>
    <m/>
  </r>
  <r>
    <x v="4"/>
    <s v="01199"/>
    <s v="สอ.ต.กระแชง"/>
    <n v="978"/>
    <n v="427"/>
    <n v="116"/>
    <n v="21"/>
    <n v="18"/>
    <n v="1"/>
    <n v="1561"/>
    <x v="2"/>
    <m/>
    <m/>
    <m/>
    <n v="300000"/>
    <m/>
  </r>
  <r>
    <x v="4"/>
    <s v="01200"/>
    <s v="สอ.ต.บ้านกลึง"/>
    <n v="1244"/>
    <n v="545"/>
    <n v="114"/>
    <n v="19"/>
    <n v="25"/>
    <n v="3"/>
    <n v="1950"/>
    <x v="2"/>
    <m/>
    <m/>
    <m/>
    <n v="300000"/>
    <m/>
  </r>
  <r>
    <x v="4"/>
    <s v="01201"/>
    <s v="สอ.ต.ช้างน้อย"/>
    <n v="750"/>
    <n v="277"/>
    <n v="58"/>
    <n v="11"/>
    <n v="9"/>
    <n v="0"/>
    <n v="1105"/>
    <x v="2"/>
    <m/>
    <m/>
    <m/>
    <n v="300000"/>
    <m/>
  </r>
  <r>
    <x v="4"/>
    <s v="01202"/>
    <s v="สอ.ต.ห่อหมก"/>
    <n v="1053"/>
    <n v="551"/>
    <n v="81"/>
    <n v="16"/>
    <n v="17"/>
    <n v="2"/>
    <n v="1720"/>
    <x v="2"/>
    <m/>
    <m/>
    <m/>
    <n v="300000"/>
    <m/>
  </r>
  <r>
    <x v="4"/>
    <s v="01203"/>
    <s v="สอ.ต.ไผ่พระ"/>
    <n v="1369"/>
    <n v="579"/>
    <n v="72"/>
    <n v="0"/>
    <n v="11"/>
    <n v="0"/>
    <n v="2031"/>
    <x v="2"/>
    <m/>
    <m/>
    <m/>
    <n v="300000"/>
    <m/>
  </r>
  <r>
    <x v="4"/>
    <s v="01204"/>
    <s v="สอ.ต.กกแก้วบูรพา"/>
    <n v="1436"/>
    <n v="491"/>
    <n v="69"/>
    <n v="2"/>
    <n v="13"/>
    <n v="5"/>
    <n v="2016"/>
    <x v="2"/>
    <m/>
    <m/>
    <m/>
    <n v="300000"/>
    <m/>
  </r>
  <r>
    <x v="4"/>
    <s v="01205"/>
    <s v="สอ.ต.ไม้ตรา"/>
    <n v="2814"/>
    <n v="1212"/>
    <n v="328"/>
    <n v="25"/>
    <n v="67"/>
    <n v="16"/>
    <n v="4462"/>
    <x v="1"/>
    <m/>
    <m/>
    <m/>
    <n v="330000"/>
    <m/>
  </r>
  <r>
    <x v="4"/>
    <s v="01206"/>
    <s v="สอ.ต.บ้านม้า"/>
    <n v="1846"/>
    <n v="908"/>
    <n v="324"/>
    <n v="19"/>
    <n v="57"/>
    <n v="4"/>
    <n v="3158"/>
    <x v="1"/>
    <m/>
    <m/>
    <m/>
    <n v="330000"/>
    <m/>
  </r>
  <r>
    <x v="4"/>
    <s v="01207"/>
    <s v="สอ.ต.บ้านเกาะ"/>
    <n v="887"/>
    <n v="386"/>
    <n v="94"/>
    <n v="8"/>
    <n v="14"/>
    <n v="2"/>
    <n v="1391"/>
    <x v="2"/>
    <m/>
    <m/>
    <m/>
    <n v="300000"/>
    <m/>
  </r>
  <r>
    <x v="4"/>
    <s v="01208"/>
    <s v="สอ.ต.ราชคราม"/>
    <n v="1225"/>
    <n v="806"/>
    <n v="68"/>
    <n v="26"/>
    <n v="20"/>
    <n v="3"/>
    <n v="2148"/>
    <x v="2"/>
    <m/>
    <m/>
    <m/>
    <n v="300000"/>
    <m/>
  </r>
  <r>
    <x v="4"/>
    <s v="01209"/>
    <s v="สอ.ต.ช้างใหญ่"/>
    <n v="1414"/>
    <n v="255"/>
    <n v="33"/>
    <n v="18"/>
    <n v="10"/>
    <n v="1"/>
    <n v="1731"/>
    <x v="2"/>
    <m/>
    <m/>
    <m/>
    <n v="300000"/>
    <m/>
  </r>
  <r>
    <x v="4"/>
    <s v="01210"/>
    <s v="สอ.คัคณางค์"/>
    <n v="1557"/>
    <n v="961"/>
    <n v="231"/>
    <n v="47"/>
    <n v="44"/>
    <n v="6"/>
    <n v="2846"/>
    <x v="2"/>
    <m/>
    <m/>
    <m/>
    <n v="300000"/>
    <m/>
  </r>
  <r>
    <x v="4"/>
    <s v="01211"/>
    <s v="สอ.ต.โพธิ์แตง"/>
    <n v="721"/>
    <n v="505"/>
    <n v="120"/>
    <n v="8"/>
    <n v="19"/>
    <n v="0"/>
    <n v="1373"/>
    <x v="2"/>
    <m/>
    <m/>
    <m/>
    <n v="300000"/>
    <m/>
  </r>
  <r>
    <x v="4"/>
    <s v="01212"/>
    <s v="สอ.ต.เชียงรากน้อย"/>
    <n v="854"/>
    <n v="528"/>
    <n v="84"/>
    <n v="15"/>
    <n v="21"/>
    <n v="0"/>
    <n v="1502"/>
    <x v="2"/>
    <m/>
    <m/>
    <m/>
    <n v="300000"/>
    <m/>
  </r>
  <r>
    <x v="4"/>
    <s v="01213"/>
    <s v="สอ.ต.โคกช้าง"/>
    <n v="1484"/>
    <n v="634"/>
    <n v="210"/>
    <n v="21"/>
    <n v="19"/>
    <n v="3"/>
    <n v="2371"/>
    <x v="2"/>
    <m/>
    <m/>
    <m/>
    <n v="300000"/>
    <m/>
  </r>
  <r>
    <x v="5"/>
    <s v="01214"/>
    <s v="สอ.ต.บางบาล"/>
    <n v="529"/>
    <n v="290"/>
    <n v="139"/>
    <n v="11"/>
    <n v="19"/>
    <n v="4"/>
    <n v="992"/>
    <x v="2"/>
    <m/>
    <m/>
    <m/>
    <n v="300000"/>
    <m/>
  </r>
  <r>
    <x v="5"/>
    <s v="01215"/>
    <s v="สอ.ต.วัดยม"/>
    <n v="1048"/>
    <n v="400"/>
    <n v="186"/>
    <n v="6"/>
    <n v="18"/>
    <n v="1"/>
    <n v="1659"/>
    <x v="2"/>
    <m/>
    <m/>
    <m/>
    <n v="300000"/>
    <m/>
  </r>
  <r>
    <x v="5"/>
    <s v="01216"/>
    <s v="สอ.ต.ไทรน้อย"/>
    <n v="1591"/>
    <n v="555"/>
    <n v="352"/>
    <n v="29"/>
    <n v="46"/>
    <n v="10"/>
    <n v="2583"/>
    <x v="2"/>
    <m/>
    <m/>
    <m/>
    <n v="300000"/>
    <m/>
  </r>
  <r>
    <x v="5"/>
    <s v="01217"/>
    <s v="สอ.ต.มหาพราหมณ์"/>
    <n v="3163"/>
    <n v="1110"/>
    <n v="449"/>
    <n v="57"/>
    <n v="56"/>
    <n v="10"/>
    <n v="4845"/>
    <x v="1"/>
    <m/>
    <m/>
    <m/>
    <n v="330000"/>
    <m/>
  </r>
  <r>
    <x v="5"/>
    <s v="01218"/>
    <s v="สอ.ต.กบเจา"/>
    <n v="1406"/>
    <n v="543"/>
    <n v="310"/>
    <n v="18"/>
    <n v="36"/>
    <n v="1"/>
    <n v="2314"/>
    <x v="2"/>
    <m/>
    <m/>
    <m/>
    <n v="300000"/>
    <m/>
  </r>
  <r>
    <x v="5"/>
    <s v="01219"/>
    <s v="สอ.ต.บ้านคลัง"/>
    <n v="1179"/>
    <n v="602"/>
    <n v="139"/>
    <n v="19"/>
    <n v="23"/>
    <n v="3"/>
    <n v="1965"/>
    <x v="2"/>
    <m/>
    <m/>
    <m/>
    <n v="300000"/>
    <m/>
  </r>
  <r>
    <x v="5"/>
    <s v="01220"/>
    <s v="สอ.ต.พระขาว"/>
    <n v="2496"/>
    <n v="1012"/>
    <n v="337"/>
    <n v="41"/>
    <n v="51"/>
    <n v="8"/>
    <n v="3945"/>
    <x v="1"/>
    <m/>
    <m/>
    <m/>
    <n v="330000"/>
    <m/>
  </r>
  <r>
    <x v="5"/>
    <s v="01221"/>
    <s v="สอ.ต.น้ำเต้า"/>
    <n v="1359"/>
    <n v="643"/>
    <n v="154"/>
    <n v="20"/>
    <n v="38"/>
    <n v="4"/>
    <n v="2218"/>
    <x v="2"/>
    <m/>
    <m/>
    <m/>
    <n v="300000"/>
    <m/>
  </r>
  <r>
    <x v="5"/>
    <s v="01222"/>
    <s v="สอ.ต.ทางช้าง"/>
    <n v="595"/>
    <n v="277"/>
    <n v="94"/>
    <n v="11"/>
    <n v="13"/>
    <n v="1"/>
    <n v="991"/>
    <x v="2"/>
    <m/>
    <m/>
    <m/>
    <n v="300000"/>
    <m/>
  </r>
  <r>
    <x v="5"/>
    <s v="01223"/>
    <s v="สอ.ต.วัดตะกู"/>
    <n v="808"/>
    <n v="434"/>
    <n v="167"/>
    <n v="4"/>
    <n v="12"/>
    <n v="2"/>
    <n v="1427"/>
    <x v="2"/>
    <m/>
    <m/>
    <m/>
    <n v="300000"/>
    <m/>
  </r>
  <r>
    <x v="5"/>
    <s v="01224"/>
    <s v="สอ.ต.บางหลวง"/>
    <n v="448"/>
    <n v="240"/>
    <n v="117"/>
    <n v="7"/>
    <n v="18"/>
    <n v="5"/>
    <n v="835"/>
    <x v="2"/>
    <m/>
    <m/>
    <m/>
    <n v="300000"/>
    <m/>
  </r>
  <r>
    <x v="5"/>
    <s v="01225"/>
    <s v="สอ.ต.บางหลวงโดด"/>
    <n v="374"/>
    <n v="196"/>
    <n v="66"/>
    <n v="11"/>
    <n v="5"/>
    <n v="0"/>
    <n v="652"/>
    <x v="2"/>
    <m/>
    <m/>
    <m/>
    <n v="300000"/>
    <m/>
  </r>
  <r>
    <x v="5"/>
    <s v="01226"/>
    <s v="สอ.ต.บางหัก"/>
    <n v="702"/>
    <n v="406"/>
    <n v="119"/>
    <n v="13"/>
    <n v="22"/>
    <n v="4"/>
    <n v="1266"/>
    <x v="2"/>
    <m/>
    <m/>
    <m/>
    <n v="300000"/>
    <m/>
  </r>
  <r>
    <x v="5"/>
    <s v="01227"/>
    <s v="สอ.ต.บางชะนี"/>
    <n v="1004"/>
    <n v="490"/>
    <n v="193"/>
    <n v="16"/>
    <n v="25"/>
    <n v="5"/>
    <n v="1733"/>
    <x v="2"/>
    <m/>
    <m/>
    <m/>
    <n v="300000"/>
    <m/>
  </r>
  <r>
    <x v="5"/>
    <s v="01228"/>
    <s v="สอ.ต.บ้านกุ่ม"/>
    <n v="2116"/>
    <n v="944"/>
    <n v="439"/>
    <n v="22"/>
    <n v="46"/>
    <n v="2"/>
    <n v="3569"/>
    <x v="1"/>
    <m/>
    <m/>
    <m/>
    <n v="330000"/>
    <m/>
  </r>
  <r>
    <x v="6"/>
    <s v="01229"/>
    <s v="สอ.คลองเปรม"/>
    <n v="2038"/>
    <n v="950"/>
    <n v="135"/>
    <n v="13"/>
    <n v="35"/>
    <n v="6"/>
    <n v="3177"/>
    <x v="1"/>
    <m/>
    <m/>
    <m/>
    <n v="330000"/>
    <m/>
  </r>
  <r>
    <x v="6"/>
    <s v="01230"/>
    <s v="สอ.ต.เชียงรากน้อย"/>
    <n v="10283"/>
    <n v="3824"/>
    <n v="764"/>
    <n v="133"/>
    <n v="173"/>
    <n v="18"/>
    <n v="15195"/>
    <x v="0"/>
    <m/>
    <m/>
    <m/>
    <n v="360000"/>
    <m/>
  </r>
  <r>
    <x v="6"/>
    <s v="01231"/>
    <s v="สอ.ต.บ้านโพ"/>
    <n v="1602"/>
    <n v="956"/>
    <n v="264"/>
    <n v="22"/>
    <n v="51"/>
    <n v="7"/>
    <n v="2902"/>
    <x v="2"/>
    <m/>
    <m/>
    <m/>
    <n v="300000"/>
    <m/>
  </r>
  <r>
    <x v="6"/>
    <s v="01232"/>
    <s v="สอ.ต.บ้านกรด"/>
    <n v="2787"/>
    <n v="66"/>
    <n v="6"/>
    <n v="4"/>
    <n v="3"/>
    <n v="0"/>
    <n v="2866"/>
    <x v="2"/>
    <m/>
    <m/>
    <m/>
    <n v="300000"/>
    <m/>
  </r>
  <r>
    <x v="6"/>
    <s v="01233"/>
    <s v="สอ.ขนอนเหนือ"/>
    <n v="1177"/>
    <n v="1944"/>
    <n v="509"/>
    <n v="63"/>
    <n v="85"/>
    <n v="14"/>
    <n v="3792"/>
    <x v="1"/>
    <m/>
    <m/>
    <m/>
    <n v="330000"/>
    <m/>
  </r>
  <r>
    <x v="6"/>
    <s v="01234"/>
    <s v="สอ.ต.บางกระสั้น"/>
    <n v="7054"/>
    <n v="3397"/>
    <n v="601"/>
    <n v="88"/>
    <n v="123"/>
    <n v="20"/>
    <n v="11283"/>
    <x v="0"/>
    <m/>
    <m/>
    <m/>
    <n v="360000"/>
    <m/>
  </r>
  <r>
    <x v="6"/>
    <s v="01235"/>
    <s v="สอ.ต.คลองจิก"/>
    <n v="4095"/>
    <n v="2725"/>
    <n v="405"/>
    <n v="51"/>
    <n v="85"/>
    <n v="9"/>
    <n v="7370"/>
    <x v="1"/>
    <m/>
    <m/>
    <m/>
    <n v="330000"/>
    <m/>
  </r>
  <r>
    <x v="6"/>
    <s v="01236"/>
    <s v="สอ.ต.บ้านหว้า"/>
    <n v="1354"/>
    <n v="803"/>
    <n v="192"/>
    <n v="12"/>
    <n v="29"/>
    <n v="8"/>
    <n v="2398"/>
    <x v="2"/>
    <m/>
    <m/>
    <m/>
    <n v="300000"/>
    <m/>
  </r>
  <r>
    <x v="6"/>
    <s v="01237"/>
    <s v="สอ.ต.วัดยม"/>
    <n v="1670"/>
    <n v="820"/>
    <n v="214"/>
    <n v="18"/>
    <n v="32"/>
    <n v="6"/>
    <n v="2760"/>
    <x v="2"/>
    <m/>
    <m/>
    <m/>
    <n v="300000"/>
    <m/>
  </r>
  <r>
    <x v="6"/>
    <s v="01238"/>
    <s v="สอ.ต.บางประแดง"/>
    <n v="1213"/>
    <n v="593"/>
    <n v="159"/>
    <n v="21"/>
    <n v="22"/>
    <n v="7"/>
    <n v="2015"/>
    <x v="2"/>
    <m/>
    <m/>
    <m/>
    <n v="300000"/>
    <m/>
  </r>
  <r>
    <x v="6"/>
    <s v="01239"/>
    <s v="สอ.ต.สามเรือน"/>
    <n v="2200"/>
    <n v="126"/>
    <n v="14"/>
    <n v="8"/>
    <n v="5"/>
    <n v="0"/>
    <n v="2353"/>
    <x v="2"/>
    <m/>
    <m/>
    <m/>
    <n v="300000"/>
    <m/>
  </r>
  <r>
    <x v="6"/>
    <s v="01240"/>
    <s v="สอ.ต.เกาะเกิด"/>
    <n v="1181"/>
    <n v="717"/>
    <n v="106"/>
    <n v="14"/>
    <n v="25"/>
    <n v="1"/>
    <n v="2044"/>
    <x v="2"/>
    <m/>
    <m/>
    <m/>
    <n v="300000"/>
    <m/>
  </r>
  <r>
    <x v="6"/>
    <s v="01241"/>
    <s v="สอ.ต.บ้านพลับ"/>
    <n v="1487"/>
    <n v="620"/>
    <n v="48"/>
    <n v="20"/>
    <n v="10"/>
    <n v="4"/>
    <n v="2189"/>
    <x v="2"/>
    <m/>
    <m/>
    <m/>
    <n v="300000"/>
    <m/>
  </r>
  <r>
    <x v="6"/>
    <s v="01242"/>
    <s v="สอ.ต.บ้านแป้ง 2"/>
    <n v="808"/>
    <n v="143"/>
    <n v="41"/>
    <n v="1"/>
    <n v="6"/>
    <n v="1"/>
    <n v="1000"/>
    <x v="2"/>
    <m/>
    <m/>
    <m/>
    <n v="300000"/>
    <m/>
  </r>
  <r>
    <x v="6"/>
    <s v="01243"/>
    <s v="สอ.ต.บ้านแป้ง 1"/>
    <n v="457"/>
    <n v="505"/>
    <n v="101"/>
    <n v="9"/>
    <n v="19"/>
    <n v="4"/>
    <n v="1095"/>
    <x v="2"/>
    <m/>
    <m/>
    <m/>
    <n v="300000"/>
    <m/>
  </r>
  <r>
    <x v="6"/>
    <s v="01244"/>
    <s v="สอ.ต.คุ้งลาน"/>
    <n v="1541"/>
    <n v="695"/>
    <n v="126"/>
    <n v="17"/>
    <n v="32"/>
    <n v="1"/>
    <n v="2412"/>
    <x v="2"/>
    <m/>
    <m/>
    <m/>
    <n v="300000"/>
    <m/>
  </r>
  <r>
    <x v="6"/>
    <s v="01245"/>
    <s v="สอ.ต.ตลิ่งชัน"/>
    <n v="818"/>
    <n v="494"/>
    <n v="154"/>
    <n v="9"/>
    <n v="19"/>
    <n v="4"/>
    <n v="1498"/>
    <x v="2"/>
    <m/>
    <m/>
    <m/>
    <n v="300000"/>
    <m/>
  </r>
  <r>
    <x v="6"/>
    <s v="01246"/>
    <s v="สอ.บ้านลานเท"/>
    <n v="6055"/>
    <n v="1631"/>
    <n v="299"/>
    <n v="72"/>
    <n v="52"/>
    <n v="10"/>
    <n v="8119"/>
    <x v="0"/>
    <m/>
    <m/>
    <m/>
    <n v="360000"/>
    <m/>
  </r>
  <r>
    <x v="6"/>
    <s v="01247"/>
    <s v="สอ.ต.ตลาดเกรียบ"/>
    <n v="1666"/>
    <n v="798"/>
    <n v="260"/>
    <n v="26"/>
    <n v="40"/>
    <n v="8"/>
    <n v="2798"/>
    <x v="2"/>
    <m/>
    <m/>
    <m/>
    <n v="300000"/>
    <m/>
  </r>
  <r>
    <x v="6"/>
    <s v="01248"/>
    <s v="สอ.ต.ขนอนหลวง"/>
    <n v="945"/>
    <n v="506"/>
    <n v="131"/>
    <n v="6"/>
    <n v="19"/>
    <n v="2"/>
    <n v="1609"/>
    <x v="2"/>
    <m/>
    <m/>
    <m/>
    <n v="300000"/>
    <m/>
  </r>
  <r>
    <x v="7"/>
    <s v="01249"/>
    <s v="สอ.อำเภอบางปะหัน"/>
    <n v="2220"/>
    <n v="869"/>
    <n v="362"/>
    <n v="56"/>
    <n v="59"/>
    <n v="4"/>
    <n v="3570"/>
    <x v="1"/>
    <m/>
    <m/>
    <m/>
    <n v="330000"/>
    <m/>
  </r>
  <r>
    <x v="7"/>
    <s v="01250"/>
    <s v="สอ.ต.ขยาย"/>
    <n v="1010"/>
    <n v="500"/>
    <n v="141"/>
    <n v="5"/>
    <n v="20"/>
    <n v="3"/>
    <n v="1679"/>
    <x v="2"/>
    <m/>
    <m/>
    <m/>
    <n v="300000"/>
    <m/>
  </r>
  <r>
    <x v="7"/>
    <s v="01251"/>
    <s v="สอ.ต.บางเดื่อ"/>
    <n v="2060"/>
    <n v="728"/>
    <n v="188"/>
    <n v="28"/>
    <n v="19"/>
    <n v="4"/>
    <n v="3027"/>
    <x v="1"/>
    <m/>
    <m/>
    <m/>
    <n v="330000"/>
    <m/>
  </r>
  <r>
    <x v="7"/>
    <s v="01252"/>
    <s v="สอ.ต.เสาธง"/>
    <n v="1385"/>
    <n v="569"/>
    <n v="235"/>
    <n v="13"/>
    <n v="35"/>
    <n v="2"/>
    <n v="2239"/>
    <x v="2"/>
    <m/>
    <m/>
    <m/>
    <n v="300000"/>
    <m/>
  </r>
  <r>
    <x v="7"/>
    <s v="01253"/>
    <s v="สอ.ต.ทางกลาง"/>
    <n v="1102"/>
    <n v="547"/>
    <n v="175"/>
    <n v="16"/>
    <n v="33"/>
    <n v="0"/>
    <n v="1873"/>
    <x v="2"/>
    <m/>
    <m/>
    <m/>
    <n v="300000"/>
    <m/>
  </r>
  <r>
    <x v="7"/>
    <s v="01254"/>
    <s v="สอ.ต.บางเพลิง"/>
    <n v="841"/>
    <n v="446"/>
    <n v="78"/>
    <n v="12"/>
    <n v="17"/>
    <n v="0"/>
    <n v="1394"/>
    <x v="2"/>
    <m/>
    <m/>
    <m/>
    <n v="300000"/>
    <m/>
  </r>
  <r>
    <x v="7"/>
    <s v="01255"/>
    <s v="สอ.ต.หันสัง"/>
    <n v="2356"/>
    <n v="967"/>
    <n v="252"/>
    <n v="18"/>
    <n v="43"/>
    <n v="9"/>
    <n v="3645"/>
    <x v="1"/>
    <m/>
    <m/>
    <m/>
    <n v="330000"/>
    <m/>
  </r>
  <r>
    <x v="7"/>
    <s v="01256"/>
    <s v="สอ.ต.ตานิม"/>
    <n v="1162"/>
    <n v="407"/>
    <n v="131"/>
    <n v="12"/>
    <n v="18"/>
    <n v="2"/>
    <n v="1732"/>
    <x v="2"/>
    <m/>
    <m/>
    <m/>
    <n v="300000"/>
    <m/>
  </r>
  <r>
    <x v="7"/>
    <s v="01257"/>
    <s v="สอ.ต.ทับน้ำ"/>
    <n v="1960"/>
    <n v="777"/>
    <n v="190"/>
    <n v="13"/>
    <n v="26"/>
    <n v="4"/>
    <n v="2970"/>
    <x v="2"/>
    <m/>
    <m/>
    <m/>
    <n v="300000"/>
    <m/>
  </r>
  <r>
    <x v="7"/>
    <s v="01258"/>
    <s v="สอ.ต.บ้านม้า"/>
    <n v="990"/>
    <n v="445"/>
    <n v="82"/>
    <n v="9"/>
    <n v="8"/>
    <n v="0"/>
    <n v="1534"/>
    <x v="2"/>
    <m/>
    <m/>
    <m/>
    <n v="300000"/>
    <m/>
  </r>
  <r>
    <x v="7"/>
    <s v="01259"/>
    <s v="สอ.ต.ขวัญเมือง"/>
    <n v="1676"/>
    <n v="741"/>
    <n v="403"/>
    <n v="39"/>
    <n v="46"/>
    <n v="6"/>
    <n v="2911"/>
    <x v="2"/>
    <m/>
    <m/>
    <m/>
    <n v="300000"/>
    <m/>
  </r>
  <r>
    <x v="7"/>
    <s v="01260"/>
    <s v="สอ.ต.บ้านลี่"/>
    <n v="1313"/>
    <n v="557"/>
    <n v="149"/>
    <n v="13"/>
    <n v="21"/>
    <n v="3"/>
    <n v="2056"/>
    <x v="2"/>
    <m/>
    <m/>
    <m/>
    <n v="300000"/>
    <m/>
  </r>
  <r>
    <x v="7"/>
    <s v="01261"/>
    <s v="สอ.ต.โพธิ์สามต้น"/>
    <n v="2292"/>
    <n v="842"/>
    <n v="237"/>
    <n v="25"/>
    <n v="35"/>
    <n v="2"/>
    <n v="3433"/>
    <x v="1"/>
    <m/>
    <m/>
    <m/>
    <n v="330000"/>
    <m/>
  </r>
  <r>
    <x v="7"/>
    <s v="01262"/>
    <s v="สอ.ต.พุทเลา"/>
    <n v="1531"/>
    <n v="790"/>
    <n v="241"/>
    <n v="40"/>
    <n v="54"/>
    <n v="7"/>
    <n v="2663"/>
    <x v="2"/>
    <m/>
    <m/>
    <m/>
    <n v="300000"/>
    <m/>
  </r>
  <r>
    <x v="7"/>
    <s v="01263"/>
    <s v="สอ.ต.ตาลเอน"/>
    <n v="585"/>
    <n v="257"/>
    <n v="59"/>
    <n v="2"/>
    <n v="10"/>
    <n v="2"/>
    <n v="915"/>
    <x v="2"/>
    <m/>
    <m/>
    <m/>
    <n v="300000"/>
    <m/>
  </r>
  <r>
    <x v="7"/>
    <s v="01264"/>
    <s v="สอ.ต.บ้านขล้อ"/>
    <n v="1287"/>
    <n v="610"/>
    <n v="135"/>
    <n v="18"/>
    <n v="21"/>
    <n v="4"/>
    <n v="2075"/>
    <x v="2"/>
    <m/>
    <m/>
    <m/>
    <n v="300000"/>
    <m/>
  </r>
  <r>
    <x v="8"/>
    <s v="01265"/>
    <s v="สอ.ต.ผักไห่(วัดราษฎร์นิยม)"/>
    <n v="2334"/>
    <n v="807"/>
    <n v="369"/>
    <n v="25"/>
    <n v="54"/>
    <n v="8"/>
    <n v="3597"/>
    <x v="1"/>
    <m/>
    <m/>
    <m/>
    <n v="330000"/>
    <m/>
  </r>
  <r>
    <x v="8"/>
    <s v="01266"/>
    <s v="สอ.ต.อมฤต"/>
    <n v="1262"/>
    <n v="475"/>
    <n v="201"/>
    <n v="27"/>
    <n v="26"/>
    <n v="2"/>
    <n v="1993"/>
    <x v="2"/>
    <m/>
    <m/>
    <m/>
    <n v="300000"/>
    <m/>
  </r>
  <r>
    <x v="8"/>
    <s v="01267"/>
    <s v="สอ.ต.บ้านแค"/>
    <n v="1789"/>
    <n v="747"/>
    <n v="245"/>
    <n v="23"/>
    <n v="37"/>
    <n v="6"/>
    <n v="2847"/>
    <x v="2"/>
    <m/>
    <m/>
    <m/>
    <n v="300000"/>
    <m/>
  </r>
  <r>
    <x v="8"/>
    <s v="01268"/>
    <s v="สอ.ต.ลาดน้ำเค็ม"/>
    <n v="1236"/>
    <n v="576"/>
    <n v="139"/>
    <n v="25"/>
    <n v="34"/>
    <n v="2"/>
    <n v="2012"/>
    <x v="2"/>
    <m/>
    <m/>
    <m/>
    <n v="300000"/>
    <m/>
  </r>
  <r>
    <x v="8"/>
    <s v="01269"/>
    <s v="สอ.ต.ท่าดินแดง"/>
    <n v="1048"/>
    <n v="528"/>
    <n v="161"/>
    <n v="38"/>
    <n v="20"/>
    <n v="7"/>
    <n v="1802"/>
    <x v="2"/>
    <m/>
    <m/>
    <m/>
    <n v="300000"/>
    <m/>
  </r>
  <r>
    <x v="8"/>
    <s v="01270"/>
    <s v="สอ.ต.ดอนลาน"/>
    <n v="1241"/>
    <n v="418"/>
    <n v="92"/>
    <n v="3"/>
    <n v="10"/>
    <n v="2"/>
    <n v="1766"/>
    <x v="2"/>
    <m/>
    <m/>
    <m/>
    <n v="300000"/>
    <m/>
  </r>
  <r>
    <x v="8"/>
    <s v="01271"/>
    <s v="สอ.ต.นาคู"/>
    <n v="1146"/>
    <n v="416"/>
    <n v="120"/>
    <n v="23"/>
    <n v="16"/>
    <n v="1"/>
    <n v="1722"/>
    <x v="2"/>
    <m/>
    <m/>
    <m/>
    <n v="300000"/>
    <m/>
  </r>
  <r>
    <x v="8"/>
    <s v="01272"/>
    <s v="สอ.ต.กุฎี"/>
    <n v="1269"/>
    <n v="562"/>
    <n v="220"/>
    <n v="14"/>
    <n v="20"/>
    <n v="3"/>
    <n v="2088"/>
    <x v="2"/>
    <m/>
    <m/>
    <m/>
    <n v="300000"/>
    <m/>
  </r>
  <r>
    <x v="8"/>
    <s v="01273"/>
    <s v="สอ.ต.ลำตะเคียน"/>
    <n v="832"/>
    <n v="284"/>
    <n v="49"/>
    <n v="7"/>
    <n v="8"/>
    <n v="1"/>
    <n v="1181"/>
    <x v="2"/>
    <m/>
    <m/>
    <m/>
    <n v="300000"/>
    <m/>
  </r>
  <r>
    <x v="8"/>
    <s v="01274"/>
    <s v="สอ.ต.โคกช้าง"/>
    <n v="927"/>
    <n v="361"/>
    <n v="101"/>
    <n v="12"/>
    <n v="9.1999999999999993"/>
    <n v="0"/>
    <n v="1410.2"/>
    <x v="2"/>
    <m/>
    <m/>
    <m/>
    <n v="300000"/>
    <m/>
  </r>
  <r>
    <x v="8"/>
    <s v="01275"/>
    <s v="สอ.ต.จักราช"/>
    <n v="1257"/>
    <n v="496"/>
    <n v="147"/>
    <n v="13"/>
    <n v="17"/>
    <n v="2"/>
    <n v="1932"/>
    <x v="2"/>
    <m/>
    <m/>
    <m/>
    <n v="300000"/>
    <m/>
  </r>
  <r>
    <x v="8"/>
    <s v="01276"/>
    <s v="สอ.ต.หนองน้ำใหญ่"/>
    <n v="3839"/>
    <n v="1286"/>
    <n v="244"/>
    <n v="89"/>
    <n v="47"/>
    <n v="12"/>
    <n v="5517"/>
    <x v="1"/>
    <m/>
    <m/>
    <m/>
    <n v="330000"/>
    <m/>
  </r>
  <r>
    <x v="8"/>
    <s v="01277"/>
    <s v="สอ.ต.ลาดชิด"/>
    <n v="2437"/>
    <n v="722"/>
    <n v="237"/>
    <n v="33"/>
    <n v="18"/>
    <n v="8"/>
    <n v="3455"/>
    <x v="1"/>
    <m/>
    <m/>
    <m/>
    <n v="330000"/>
    <m/>
  </r>
  <r>
    <x v="8"/>
    <s v="01278"/>
    <s v="สอ.ต.หน้าโคก"/>
    <n v="1450"/>
    <n v="442"/>
    <n v="148"/>
    <n v="14"/>
    <n v="29"/>
    <n v="2"/>
    <n v="2085"/>
    <x v="2"/>
    <m/>
    <m/>
    <m/>
    <n v="300000"/>
    <m/>
  </r>
  <r>
    <x v="8"/>
    <s v="01279"/>
    <s v="สอ.ต.บ้านใหญ่"/>
    <n v="1197"/>
    <n v="577"/>
    <n v="217"/>
    <n v="18"/>
    <n v="29"/>
    <n v="0"/>
    <n v="2038"/>
    <x v="2"/>
    <m/>
    <m/>
    <m/>
    <n v="300000"/>
    <m/>
  </r>
  <r>
    <x v="9"/>
    <s v="01280"/>
    <s v="สอ.ต.โคกม่วง"/>
    <n v="1868"/>
    <n v="1196"/>
    <n v="258"/>
    <n v="31"/>
    <n v="53"/>
    <n v="4"/>
    <n v="3410"/>
    <x v="1"/>
    <m/>
    <m/>
    <m/>
    <n v="330000"/>
    <m/>
  </r>
  <r>
    <x v="9"/>
    <s v="01281"/>
    <s v="สอ.ต.ระโสม"/>
    <n v="3077"/>
    <n v="1285"/>
    <n v="177"/>
    <n v="28"/>
    <n v="30"/>
    <n v="8"/>
    <n v="4605"/>
    <x v="1"/>
    <m/>
    <m/>
    <m/>
    <n v="330000"/>
    <m/>
  </r>
  <r>
    <x v="9"/>
    <s v="01282"/>
    <s v="สอ.ต.หนองน้ำใส"/>
    <n v="1965"/>
    <n v="855"/>
    <n v="217"/>
    <n v="21"/>
    <n v="26"/>
    <n v="8"/>
    <n v="3092"/>
    <x v="1"/>
    <m/>
    <m/>
    <m/>
    <n v="330000"/>
    <m/>
  </r>
  <r>
    <x v="9"/>
    <s v="01283"/>
    <s v="สอ.ต.ดอนหญ้านาง"/>
    <n v="1579"/>
    <n v="748"/>
    <n v="257"/>
    <n v="12"/>
    <n v="37"/>
    <n v="5"/>
    <n v="2638"/>
    <x v="2"/>
    <m/>
    <m/>
    <m/>
    <n v="300000"/>
    <m/>
  </r>
  <r>
    <x v="9"/>
    <s v="01284"/>
    <s v="สอ.ต.ไผ่ล้อม"/>
    <n v="2099"/>
    <n v="1160"/>
    <n v="259"/>
    <n v="26"/>
    <n v="45"/>
    <n v="5"/>
    <n v="3594"/>
    <x v="1"/>
    <m/>
    <m/>
    <m/>
    <n v="330000"/>
    <m/>
  </r>
  <r>
    <x v="9"/>
    <s v="01285"/>
    <s v="สอ.ต.กระจิว"/>
    <n v="2210"/>
    <n v="1134"/>
    <n v="170"/>
    <n v="24"/>
    <n v="34"/>
    <n v="8"/>
    <n v="3580"/>
    <x v="1"/>
    <m/>
    <m/>
    <m/>
    <n v="330000"/>
    <m/>
  </r>
  <r>
    <x v="9"/>
    <s v="01286"/>
    <s v="สอ.ต.พระแก้ว"/>
    <n v="1546"/>
    <n v="730"/>
    <n v="115"/>
    <n v="10"/>
    <n v="15"/>
    <n v="3"/>
    <n v="2419"/>
    <x v="2"/>
    <m/>
    <m/>
    <m/>
    <n v="300000"/>
    <m/>
  </r>
  <r>
    <x v="10"/>
    <s v="01287"/>
    <s v="สอ.ต.หลักชัย"/>
    <n v="3654"/>
    <n v="1112"/>
    <n v="232"/>
    <n v="44"/>
    <n v="36"/>
    <n v="12"/>
    <n v="5090"/>
    <x v="1"/>
    <m/>
    <m/>
    <m/>
    <n v="330000"/>
    <m/>
  </r>
  <r>
    <x v="10"/>
    <s v="01288"/>
    <s v="สอ.ต.สามเมือง"/>
    <n v="2395"/>
    <n v="854"/>
    <n v="117"/>
    <n v="14"/>
    <n v="20"/>
    <n v="9"/>
    <n v="3409"/>
    <x v="1"/>
    <m/>
    <m/>
    <m/>
    <n v="330000"/>
    <m/>
  </r>
  <r>
    <x v="10"/>
    <s v="01289"/>
    <s v="สอ.พระยาบันลือ"/>
    <n v="3077"/>
    <n v="938"/>
    <n v="227"/>
    <n v="10"/>
    <n v="38"/>
    <n v="6"/>
    <n v="4296"/>
    <x v="1"/>
    <m/>
    <m/>
    <m/>
    <n v="330000"/>
    <m/>
  </r>
  <r>
    <x v="10"/>
    <s v="01290"/>
    <s v="สอ.ต.สิงหนาท"/>
    <n v="2366"/>
    <n v="801"/>
    <n v="131"/>
    <n v="19"/>
    <n v="16"/>
    <n v="3"/>
    <n v="3336"/>
    <x v="1"/>
    <m/>
    <m/>
    <m/>
    <n v="330000"/>
    <m/>
  </r>
  <r>
    <x v="10"/>
    <s v="01291"/>
    <s v="สอ.สิงหนาท 2 (วัดหนองปลาดุก)"/>
    <n v="1658"/>
    <n v="759"/>
    <n v="146"/>
    <n v="32"/>
    <n v="29"/>
    <n v="5"/>
    <n v="2629"/>
    <x v="2"/>
    <m/>
    <m/>
    <m/>
    <n v="300000"/>
    <m/>
  </r>
  <r>
    <x v="10"/>
    <s v="01292"/>
    <s v="สอ.ต.คู้สลอด"/>
    <n v="3047"/>
    <n v="804"/>
    <n v="147"/>
    <n v="60"/>
    <n v="23"/>
    <n v="6"/>
    <n v="4087"/>
    <x v="1"/>
    <m/>
    <m/>
    <m/>
    <n v="330000"/>
    <m/>
  </r>
  <r>
    <x v="10"/>
    <s v="01293"/>
    <s v="สอ.ต.พระยาบันลือ"/>
    <n v="2400"/>
    <n v="759"/>
    <n v="198"/>
    <n v="10"/>
    <n v="13"/>
    <n v="2"/>
    <n v="3382"/>
    <x v="1"/>
    <m/>
    <m/>
    <m/>
    <n v="330000"/>
    <m/>
  </r>
  <r>
    <x v="10"/>
    <s v="14915"/>
    <s v="สอ.ต.ลาดบัวหลวง"/>
    <n v="4846"/>
    <n v="1577"/>
    <n v="472"/>
    <n v="52"/>
    <n v="66"/>
    <n v="17"/>
    <n v="7030"/>
    <x v="1"/>
    <m/>
    <m/>
    <m/>
    <n v="330000"/>
    <m/>
  </r>
  <r>
    <x v="11"/>
    <s v="01294"/>
    <s v="สอ.ต.วังน้อย"/>
    <n v="3035"/>
    <n v="1395"/>
    <n v="391"/>
    <n v="35"/>
    <n v="60"/>
    <n v="11"/>
    <n v="4927"/>
    <x v="1"/>
    <m/>
    <m/>
    <m/>
    <n v="330000"/>
    <m/>
  </r>
  <r>
    <x v="11"/>
    <s v="01295"/>
    <s v="สอ.ต.ลำตาเสา"/>
    <n v="7462"/>
    <n v="4277"/>
    <n v="833"/>
    <n v="86"/>
    <n v="148"/>
    <n v="26"/>
    <n v="12832"/>
    <x v="0"/>
    <m/>
    <m/>
    <m/>
    <n v="360000"/>
    <m/>
  </r>
  <r>
    <x v="11"/>
    <s v="01296"/>
    <s v="สอ.ต.บ่อตาโล่"/>
    <n v="5016"/>
    <n v="1846"/>
    <n v="274"/>
    <n v="15"/>
    <n v="45"/>
    <n v="13"/>
    <n v="7209"/>
    <x v="1"/>
    <m/>
    <m/>
    <m/>
    <n v="330000"/>
    <m/>
  </r>
  <r>
    <x v="11"/>
    <s v="01297"/>
    <s v="สอ.บ้านหนองโสน"/>
    <n v="477"/>
    <n v="468"/>
    <n v="41"/>
    <n v="2"/>
    <n v="10"/>
    <n v="3"/>
    <n v="1001"/>
    <x v="2"/>
    <m/>
    <m/>
    <m/>
    <n v="300000"/>
    <m/>
  </r>
  <r>
    <x v="11"/>
    <s v="01298"/>
    <s v="สอ.ต.สนับทึบ"/>
    <n v="2267"/>
    <n v="969"/>
    <n v="97"/>
    <n v="22"/>
    <n v="11"/>
    <n v="8"/>
    <n v="3374"/>
    <x v="1"/>
    <m/>
    <m/>
    <m/>
    <n v="330000"/>
    <m/>
  </r>
  <r>
    <x v="11"/>
    <s v="01299"/>
    <s v="สอ.ต.พยอม"/>
    <n v="4925"/>
    <n v="3679"/>
    <n v="594"/>
    <n v="52"/>
    <n v="149"/>
    <n v="21"/>
    <n v="9420"/>
    <x v="0"/>
    <m/>
    <m/>
    <m/>
    <n v="360000"/>
    <m/>
  </r>
  <r>
    <x v="11"/>
    <s v="01300"/>
    <s v="สอ.ต.หันตะเภา"/>
    <n v="2361"/>
    <n v="958"/>
    <n v="94"/>
    <n v="26"/>
    <n v="21"/>
    <n v="5"/>
    <n v="3465"/>
    <x v="1"/>
    <m/>
    <m/>
    <m/>
    <n v="330000"/>
    <m/>
  </r>
  <r>
    <x v="11"/>
    <s v="01301"/>
    <s v="สอ.ต.วังจุฬา"/>
    <n v="2186"/>
    <n v="1102"/>
    <n v="175"/>
    <n v="35"/>
    <n v="32"/>
    <n v="8"/>
    <n v="3538"/>
    <x v="1"/>
    <m/>
    <m/>
    <m/>
    <n v="330000"/>
    <m/>
  </r>
  <r>
    <x v="11"/>
    <s v="01302"/>
    <s v="สอ.ต.ข้าวงาม"/>
    <n v="1426"/>
    <n v="721"/>
    <n v="67"/>
    <n v="12"/>
    <n v="20"/>
    <n v="0"/>
    <n v="2246"/>
    <x v="2"/>
    <m/>
    <m/>
    <m/>
    <n v="300000"/>
    <m/>
  </r>
  <r>
    <x v="11"/>
    <s v="01303"/>
    <s v="สอ.ต.ชะแมบ"/>
    <n v="4097"/>
    <n v="1558"/>
    <n v="175"/>
    <n v="20"/>
    <n v="35"/>
    <n v="2"/>
    <n v="5887"/>
    <x v="1"/>
    <m/>
    <m/>
    <m/>
    <n v="330000"/>
    <m/>
  </r>
  <r>
    <x v="12"/>
    <s v="01321"/>
    <s v="สอ.ต.แก้วฟ้า"/>
    <n v="1271"/>
    <n v="476"/>
    <n v="99"/>
    <n v="14"/>
    <n v="15"/>
    <n v="3"/>
    <n v="1878"/>
    <x v="2"/>
    <m/>
    <m/>
    <m/>
    <n v="300000"/>
    <m/>
  </r>
  <r>
    <x v="12"/>
    <s v="01322"/>
    <s v="สอ.ต.เต่าเล่า"/>
    <n v="1465"/>
    <n v="672"/>
    <n v="188"/>
    <n v="35"/>
    <n v="34"/>
    <n v="1"/>
    <n v="2395"/>
    <x v="2"/>
    <m/>
    <m/>
    <m/>
    <n v="300000"/>
    <m/>
  </r>
  <r>
    <x v="12"/>
    <s v="01323"/>
    <s v="สอ.ทางหลวง"/>
    <n v="1150"/>
    <n v="494"/>
    <n v="68"/>
    <n v="4"/>
    <n v="15"/>
    <n v="1"/>
    <n v="1732"/>
    <x v="2"/>
    <m/>
    <m/>
    <m/>
    <n v="300000"/>
    <m/>
  </r>
  <r>
    <x v="12"/>
    <s v="01324"/>
    <s v="สอ.ต.ปลายกลัด"/>
    <n v="1866"/>
    <n v="768"/>
    <n v="142"/>
    <n v="29"/>
    <n v="26"/>
    <n v="4"/>
    <n v="2835"/>
    <x v="2"/>
    <m/>
    <m/>
    <m/>
    <n v="300000"/>
    <m/>
  </r>
  <r>
    <x v="12"/>
    <s v="01325"/>
    <s v="สอ.ต.เทพมงคล"/>
    <n v="2402"/>
    <n v="871"/>
    <n v="150"/>
    <n v="13"/>
    <n v="25"/>
    <n v="11"/>
    <n v="3472"/>
    <x v="1"/>
    <m/>
    <m/>
    <m/>
    <n v="330000"/>
    <m/>
  </r>
  <r>
    <x v="12"/>
    <s v="01326"/>
    <s v="สอ.ต.วังพัฒนา"/>
    <n v="1068"/>
    <n v="306"/>
    <n v="71"/>
    <n v="7"/>
    <n v="9"/>
    <n v="3"/>
    <n v="1464"/>
    <x v="2"/>
    <m/>
    <m/>
    <m/>
    <n v="300000"/>
    <m/>
  </r>
  <r>
    <x v="13"/>
    <s v="01327"/>
    <s v="สอ.อำเภออุทัย"/>
    <n v="4695"/>
    <n v="1671"/>
    <n v="501"/>
    <n v="60"/>
    <n v="70"/>
    <n v="10"/>
    <n v="7007"/>
    <x v="1"/>
    <m/>
    <m/>
    <m/>
    <n v="330000"/>
    <m/>
  </r>
  <r>
    <x v="13"/>
    <s v="01328"/>
    <s v="สอ.ต.คานหาม"/>
    <n v="3742"/>
    <n v="1779"/>
    <n v="487"/>
    <n v="63"/>
    <n v="96"/>
    <n v="4"/>
    <n v="6171"/>
    <x v="1"/>
    <m/>
    <m/>
    <m/>
    <n v="330000"/>
    <m/>
  </r>
  <r>
    <x v="13"/>
    <s v="01329"/>
    <s v="สอ.ต.บ้านช้าง"/>
    <n v="1912"/>
    <n v="668"/>
    <n v="86"/>
    <n v="12"/>
    <n v="17"/>
    <n v="4"/>
    <n v="2699"/>
    <x v="2"/>
    <m/>
    <m/>
    <m/>
    <n v="300000"/>
    <m/>
  </r>
  <r>
    <x v="13"/>
    <s v="01330"/>
    <s v="สอ.ต.สามบัณฑิต"/>
    <n v="2694"/>
    <n v="1201"/>
    <n v="186"/>
    <n v="38"/>
    <n v="43"/>
    <n v="8"/>
    <n v="4170"/>
    <x v="1"/>
    <m/>
    <m/>
    <m/>
    <n v="330000"/>
    <m/>
  </r>
  <r>
    <x v="13"/>
    <s v="01331"/>
    <s v="สอ.ต.บ้านหีบ"/>
    <n v="2395"/>
    <n v="1150"/>
    <n v="110"/>
    <n v="16"/>
    <n v="24"/>
    <n v="12"/>
    <n v="3707"/>
    <x v="1"/>
    <m/>
    <m/>
    <m/>
    <n v="330000"/>
    <m/>
  </r>
  <r>
    <x v="13"/>
    <s v="01332"/>
    <s v="สอ.ต.หนองไม้ซุง"/>
    <n v="2001"/>
    <n v="726"/>
    <n v="104"/>
    <n v="27"/>
    <n v="12"/>
    <n v="4"/>
    <n v="2874"/>
    <x v="2"/>
    <m/>
    <m/>
    <m/>
    <n v="300000"/>
    <m/>
  </r>
  <r>
    <x v="13"/>
    <s v="01333"/>
    <s v="สอ.ต.เสนา"/>
    <n v="1986"/>
    <n v="855"/>
    <n v="109"/>
    <n v="12"/>
    <n v="18"/>
    <n v="5"/>
    <n v="2985"/>
    <x v="2"/>
    <m/>
    <m/>
    <m/>
    <n v="300000"/>
    <m/>
  </r>
  <r>
    <x v="13"/>
    <s v="01334"/>
    <s v="สอ.ต.หนองน้ำส้ม"/>
    <n v="1654"/>
    <n v="738"/>
    <n v="147"/>
    <n v="22"/>
    <n v="19"/>
    <n v="4"/>
    <n v="2584"/>
    <x v="2"/>
    <m/>
    <m/>
    <m/>
    <n v="300000"/>
    <m/>
  </r>
  <r>
    <x v="13"/>
    <s v="01335"/>
    <s v="สอ.ต.โพสาวหาญ"/>
    <n v="2202"/>
    <n v="1115"/>
    <n v="145"/>
    <n v="32"/>
    <n v="32"/>
    <n v="1"/>
    <n v="3527"/>
    <x v="1"/>
    <m/>
    <m/>
    <m/>
    <n v="330000"/>
    <m/>
  </r>
  <r>
    <x v="13"/>
    <s v="01336"/>
    <s v="สอ.ต.ธนู"/>
    <n v="3020"/>
    <n v="1302"/>
    <n v="692"/>
    <n v="64"/>
    <n v="82"/>
    <n v="8"/>
    <n v="5168"/>
    <x v="1"/>
    <m/>
    <m/>
    <m/>
    <n v="330000"/>
    <m/>
  </r>
  <r>
    <x v="13"/>
    <s v="01337"/>
    <s v="สอ.ต.ข้าวเม่า"/>
    <n v="1402"/>
    <n v="610"/>
    <n v="208"/>
    <n v="25"/>
    <n v="26"/>
    <n v="4"/>
    <n v="2275"/>
    <x v="2"/>
    <m/>
    <m/>
    <m/>
    <n v="300000"/>
    <m/>
  </r>
  <r>
    <x v="13"/>
    <s v="01338"/>
    <s v="สอ.บ้านหนองคัดเค้า"/>
    <n v="1254"/>
    <n v="584"/>
    <n v="177"/>
    <n v="12"/>
    <n v="20"/>
    <n v="6"/>
    <n v="2053"/>
    <x v="2"/>
    <m/>
    <m/>
    <m/>
    <n v="300000"/>
    <m/>
  </r>
  <r>
    <x v="14"/>
    <s v="01339"/>
    <s v="สอ.ต.มหาราช"/>
    <n v="761"/>
    <n v="458"/>
    <n v="260"/>
    <n v="46"/>
    <n v="40"/>
    <n v="3"/>
    <n v="1568"/>
    <x v="2"/>
    <m/>
    <m/>
    <m/>
    <n v="300000"/>
    <m/>
  </r>
  <r>
    <x v="14"/>
    <s v="01340"/>
    <s v="สอ.ต.กระทุ่ม"/>
    <n v="480"/>
    <n v="34"/>
    <n v="23"/>
    <n v="1"/>
    <n v="1"/>
    <n v="0"/>
    <n v="539"/>
    <x v="2"/>
    <m/>
    <m/>
    <m/>
    <n v="300000"/>
    <m/>
  </r>
  <r>
    <x v="14"/>
    <s v="01341"/>
    <s v="สอ.บ้านหนองจิก"/>
    <n v="260"/>
    <n v="346"/>
    <n v="79"/>
    <n v="16"/>
    <n v="7"/>
    <n v="0"/>
    <n v="708"/>
    <x v="2"/>
    <m/>
    <m/>
    <m/>
    <n v="300000"/>
    <m/>
  </r>
  <r>
    <x v="14"/>
    <s v="01342"/>
    <s v="สอ.ต.น้ำเต้า"/>
    <n v="760"/>
    <n v="313"/>
    <n v="107"/>
    <n v="18"/>
    <n v="11"/>
    <n v="0"/>
    <n v="1209"/>
    <x v="2"/>
    <m/>
    <m/>
    <m/>
    <n v="300000"/>
    <m/>
  </r>
  <r>
    <x v="14"/>
    <s v="01343"/>
    <s v="สอ.ต.บางนา"/>
    <n v="1092"/>
    <n v="478"/>
    <n v="177"/>
    <n v="30"/>
    <n v="27"/>
    <n v="3"/>
    <n v="1807"/>
    <x v="2"/>
    <m/>
    <m/>
    <m/>
    <n v="300000"/>
    <m/>
  </r>
  <r>
    <x v="14"/>
    <s v="01344"/>
    <s v="สอ.ต.โรงช้าง"/>
    <n v="962"/>
    <n v="386"/>
    <n v="207"/>
    <n v="24"/>
    <n v="19"/>
    <n v="1"/>
    <n v="1599"/>
    <x v="2"/>
    <m/>
    <m/>
    <m/>
    <n v="300000"/>
    <m/>
  </r>
  <r>
    <x v="14"/>
    <s v="01345"/>
    <s v="สอ.ต.เจ้าปลุก"/>
    <n v="840"/>
    <n v="348"/>
    <n v="157"/>
    <n v="12"/>
    <n v="18"/>
    <n v="2"/>
    <n v="1377"/>
    <x v="2"/>
    <m/>
    <m/>
    <m/>
    <n v="300000"/>
    <m/>
  </r>
  <r>
    <x v="14"/>
    <s v="01346"/>
    <s v="สอ.ต.พิตเพียน"/>
    <n v="894"/>
    <n v="428"/>
    <n v="210"/>
    <n v="37"/>
    <n v="26"/>
    <n v="1"/>
    <n v="1596"/>
    <x v="2"/>
    <m/>
    <m/>
    <m/>
    <n v="300000"/>
    <m/>
  </r>
  <r>
    <x v="14"/>
    <s v="01347"/>
    <s v="สอ.ต.บ้านนา"/>
    <n v="2246"/>
    <n v="837"/>
    <n v="277"/>
    <n v="33"/>
    <n v="42"/>
    <n v="6"/>
    <n v="3441"/>
    <x v="1"/>
    <m/>
    <m/>
    <m/>
    <n v="330000"/>
    <m/>
  </r>
  <r>
    <x v="14"/>
    <s v="01348"/>
    <s v="สอ.ต.บ้านขวาง"/>
    <n v="1153"/>
    <n v="475"/>
    <n v="227"/>
    <n v="30"/>
    <n v="28"/>
    <n v="5"/>
    <n v="1918"/>
    <x v="2"/>
    <m/>
    <m/>
    <m/>
    <n v="300000"/>
    <m/>
  </r>
  <r>
    <x v="14"/>
    <s v="01349"/>
    <s v="สอ.ต.ท่าตอ"/>
    <n v="1337"/>
    <n v="490"/>
    <n v="174"/>
    <n v="34"/>
    <n v="35"/>
    <n v="3"/>
    <n v="2073"/>
    <x v="2"/>
    <m/>
    <m/>
    <m/>
    <n v="300000"/>
    <m/>
  </r>
  <r>
    <x v="14"/>
    <s v="01350"/>
    <s v="สอ.ต.บ้านใหม่"/>
    <n v="1233"/>
    <n v="569"/>
    <n v="159"/>
    <n v="27"/>
    <n v="30"/>
    <n v="2"/>
    <n v="2020"/>
    <x v="2"/>
    <m/>
    <m/>
    <m/>
    <n v="300000"/>
    <m/>
  </r>
  <r>
    <x v="15"/>
    <s v="01351"/>
    <s v="สอ.ต.บ้านแพรก"/>
    <n v="1159"/>
    <n v="416"/>
    <n v="316"/>
    <n v="65"/>
    <n v="45"/>
    <n v="5"/>
    <n v="2006"/>
    <x v="2"/>
    <m/>
    <m/>
    <m/>
    <n v="300000"/>
    <m/>
  </r>
  <r>
    <x v="15"/>
    <s v="01352"/>
    <s v="สอ.ต.สำพะเนียง"/>
    <n v="1503"/>
    <n v="556"/>
    <n v="242"/>
    <n v="35"/>
    <n v="35"/>
    <n v="21"/>
    <n v="2392"/>
    <x v="2"/>
    <m/>
    <m/>
    <m/>
    <n v="300000"/>
    <m/>
  </r>
  <r>
    <x v="15"/>
    <s v="01353"/>
    <s v="สอ.ต.คลองน้อย"/>
    <n v="789"/>
    <n v="349"/>
    <n v="97"/>
    <n v="13"/>
    <n v="14"/>
    <n v="2"/>
    <n v="1264"/>
    <x v="2"/>
    <m/>
    <m/>
    <m/>
    <n v="300000"/>
    <m/>
  </r>
  <r>
    <x v="15"/>
    <s v="01354"/>
    <s v="สอ.ต.สองห้อง"/>
    <n v="853"/>
    <n v="396"/>
    <n v="96"/>
    <n v="5"/>
    <n v="14"/>
    <n v="3"/>
    <n v="1367"/>
    <x v="2"/>
    <m/>
    <m/>
    <m/>
    <n v="300000"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05">
  <r>
    <x v="0"/>
    <s v="01149"/>
    <s v="สอ.วัดพระญาติการาม"/>
    <n v="5024"/>
    <n v="2158"/>
    <n v="1086"/>
    <n v="88"/>
    <n v="140"/>
    <n v="49"/>
    <n v="8545"/>
    <x v="0"/>
    <m/>
    <m/>
    <m/>
    <n v="360000"/>
  </r>
  <r>
    <x v="0"/>
    <s v="01150"/>
    <s v="สอ.ต.ไผ่ลิง"/>
    <n v="4383"/>
    <n v="1938"/>
    <n v="732"/>
    <n v="64"/>
    <n v="87"/>
    <n v="12"/>
    <n v="7216"/>
    <x v="1"/>
    <m/>
    <m/>
    <m/>
    <n v="330000"/>
  </r>
  <r>
    <x v="0"/>
    <s v="01151"/>
    <s v="สอ.ต.ปากกราน"/>
    <n v="3924"/>
    <n v="1500"/>
    <n v="557"/>
    <n v="60"/>
    <n v="96"/>
    <n v="4"/>
    <n v="6141"/>
    <x v="1"/>
    <m/>
    <m/>
    <m/>
    <n v="330000"/>
  </r>
  <r>
    <x v="0"/>
    <s v="01152"/>
    <s v="สอ.ต.ภูเขาทอง"/>
    <n v="1972"/>
    <n v="605"/>
    <n v="162"/>
    <n v="16"/>
    <n v="25"/>
    <n v="7"/>
    <n v="2787"/>
    <x v="2"/>
    <m/>
    <m/>
    <m/>
    <n v="300000"/>
  </r>
  <r>
    <x v="0"/>
    <s v="01153"/>
    <s v="สอ.ต.สำเภาล่ม"/>
    <n v="4592"/>
    <n v="1732"/>
    <n v="399"/>
    <n v="72"/>
    <n v="91"/>
    <n v="13"/>
    <n v="6899"/>
    <x v="1"/>
    <m/>
    <m/>
    <m/>
    <n v="330000"/>
  </r>
  <r>
    <x v="0"/>
    <s v="01154"/>
    <s v="สอ.บ้านเพนียด"/>
    <n v="1723"/>
    <n v="629"/>
    <n v="189"/>
    <n v="8"/>
    <n v="22"/>
    <n v="2"/>
    <n v="2573"/>
    <x v="2"/>
    <m/>
    <m/>
    <m/>
    <n v="300000"/>
  </r>
  <r>
    <x v="0"/>
    <s v="01155"/>
    <s v="สอ.ต.สวนพริก"/>
    <n v="1324"/>
    <n v="390"/>
    <n v="106"/>
    <n v="20"/>
    <n v="17"/>
    <n v="2"/>
    <n v="1859"/>
    <x v="2"/>
    <m/>
    <m/>
    <m/>
    <n v="300000"/>
  </r>
  <r>
    <x v="0"/>
    <s v="01156"/>
    <s v="สอ.ต.คลองตะเคียน"/>
    <n v="3353"/>
    <n v="1250"/>
    <n v="336"/>
    <n v="33"/>
    <n v="102"/>
    <n v="9"/>
    <n v="5083"/>
    <x v="1"/>
    <m/>
    <m/>
    <m/>
    <n v="330000"/>
  </r>
  <r>
    <x v="0"/>
    <s v="01157"/>
    <s v="สอ.ต.วัดตูม"/>
    <n v="2507"/>
    <n v="1053"/>
    <n v="700"/>
    <n v="39"/>
    <n v="60"/>
    <n v="14"/>
    <n v="4373"/>
    <x v="1"/>
    <m/>
    <m/>
    <m/>
    <n v="330000"/>
  </r>
  <r>
    <x v="0"/>
    <s v="01158"/>
    <s v="สอ.ต.หันตรา"/>
    <n v="3521"/>
    <n v="484"/>
    <n v="270"/>
    <n v="32"/>
    <n v="32"/>
    <n v="0"/>
    <n v="4339"/>
    <x v="1"/>
    <m/>
    <m/>
    <m/>
    <n v="330000"/>
  </r>
  <r>
    <x v="0"/>
    <s v="01159"/>
    <s v="สอ.ต.ลุมพลี"/>
    <n v="4073"/>
    <n v="1077"/>
    <n v="268"/>
    <n v="29"/>
    <n v="32"/>
    <n v="12"/>
    <n v="5491"/>
    <x v="1"/>
    <m/>
    <m/>
    <m/>
    <n v="330000"/>
  </r>
  <r>
    <x v="0"/>
    <s v="01160"/>
    <s v="สอ.ต.บ้านใหม่"/>
    <n v="3743"/>
    <n v="1157"/>
    <n v="315"/>
    <n v="26"/>
    <n v="53"/>
    <n v="10"/>
    <n v="5304"/>
    <x v="1"/>
    <m/>
    <m/>
    <m/>
    <n v="330000"/>
  </r>
  <r>
    <x v="0"/>
    <s v="01161"/>
    <s v="สอ.ต.บ้านเกาะ"/>
    <n v="3106"/>
    <n v="1368"/>
    <n v="690"/>
    <n v="58"/>
    <n v="94"/>
    <n v="9"/>
    <n v="5325"/>
    <x v="1"/>
    <m/>
    <m/>
    <m/>
    <n v="330000"/>
  </r>
  <r>
    <x v="0"/>
    <s v="01162"/>
    <s v="สอ.ต.คลองสวนพลู"/>
    <n v="3834"/>
    <n v="1953"/>
    <n v="1108"/>
    <n v="128"/>
    <n v="117"/>
    <n v="14"/>
    <n v="7154"/>
    <x v="1"/>
    <m/>
    <m/>
    <m/>
    <n v="330000"/>
  </r>
  <r>
    <x v="0"/>
    <s v="01163"/>
    <s v="สอ.ต.คลองสระบัว"/>
    <n v="2613"/>
    <n v="997"/>
    <n v="390"/>
    <n v="61"/>
    <n v="53"/>
    <n v="8"/>
    <n v="4122"/>
    <x v="1"/>
    <m/>
    <m/>
    <m/>
    <n v="330000"/>
  </r>
  <r>
    <x v="0"/>
    <s v="01164"/>
    <s v="สอ.ต.เกาะเรียน"/>
    <n v="1466"/>
    <n v="822"/>
    <n v="228"/>
    <n v="25"/>
    <n v="32"/>
    <n v="8"/>
    <n v="2581"/>
    <x v="2"/>
    <m/>
    <m/>
    <m/>
    <n v="300000"/>
  </r>
  <r>
    <x v="0"/>
    <s v="01165"/>
    <s v="สอ.ต.บ้านป้อม"/>
    <n v="4101"/>
    <n v="1742"/>
    <n v="763"/>
    <n v="81"/>
    <n v="89"/>
    <n v="14"/>
    <n v="6790"/>
    <x v="1"/>
    <m/>
    <m/>
    <m/>
    <n v="330000"/>
  </r>
  <r>
    <x v="0"/>
    <s v="01166"/>
    <s v="สอ.ต.บ้านรุน"/>
    <n v="837"/>
    <n v="434"/>
    <n v="95"/>
    <n v="11"/>
    <n v="18"/>
    <n v="0"/>
    <n v="1395"/>
    <x v="2"/>
    <m/>
    <m/>
    <m/>
    <n v="300000"/>
  </r>
  <r>
    <x v="1"/>
    <s v="01304"/>
    <s v="สอ.ต.บ้านแพน"/>
    <n v="1922"/>
    <n v="1676"/>
    <n v="667"/>
    <n v="163"/>
    <n v="95"/>
    <n v="11"/>
    <n v="4534"/>
    <x v="1"/>
    <m/>
    <m/>
    <m/>
    <n v="330000"/>
  </r>
  <r>
    <x v="1"/>
    <s v="01305"/>
    <s v="สอ.ต.เจ้าเจ็ด"/>
    <n v="2644"/>
    <n v="1030"/>
    <n v="370"/>
    <n v="110"/>
    <n v="62"/>
    <n v="9"/>
    <n v="4225"/>
    <x v="1"/>
    <m/>
    <m/>
    <m/>
    <n v="330000"/>
  </r>
  <r>
    <x v="1"/>
    <s v="01306"/>
    <s v="สอ.ต.สามกอ"/>
    <n v="4269"/>
    <n v="1509"/>
    <n v="455"/>
    <n v="100"/>
    <n v="50"/>
    <n v="9"/>
    <n v="6392"/>
    <x v="1"/>
    <m/>
    <m/>
    <m/>
    <n v="330000"/>
  </r>
  <r>
    <x v="1"/>
    <s v="01308"/>
    <s v="สอ.ต.หัวเวียง"/>
    <n v="2070"/>
    <n v="1132"/>
    <n v="323"/>
    <n v="79"/>
    <n v="51"/>
    <n v="6"/>
    <n v="3661"/>
    <x v="1"/>
    <m/>
    <m/>
    <m/>
    <n v="330000"/>
  </r>
  <r>
    <x v="1"/>
    <s v="01309"/>
    <s v="สอ.ต.มารวิชัย"/>
    <n v="2010"/>
    <n v="538"/>
    <n v="128"/>
    <n v="16"/>
    <n v="18"/>
    <n v="1"/>
    <n v="2711"/>
    <x v="2"/>
    <m/>
    <m/>
    <m/>
    <n v="300000"/>
  </r>
  <r>
    <x v="1"/>
    <s v="01310"/>
    <s v="สอ.ต.บ้านโพธิ์"/>
    <n v="2311"/>
    <n v="903"/>
    <n v="270"/>
    <n v="43"/>
    <n v="42"/>
    <n v="4"/>
    <n v="3573"/>
    <x v="1"/>
    <m/>
    <m/>
    <m/>
    <n v="330000"/>
  </r>
  <r>
    <x v="1"/>
    <s v="01311"/>
    <s v="สอ.ต.รางจรเข้"/>
    <n v="1662"/>
    <n v="771"/>
    <n v="168"/>
    <n v="27"/>
    <n v="28"/>
    <n v="3"/>
    <n v="2659"/>
    <x v="2"/>
    <m/>
    <m/>
    <m/>
    <n v="300000"/>
  </r>
  <r>
    <x v="1"/>
    <s v="01312"/>
    <s v="สอ.ต.บ้านกระทุ่ม"/>
    <n v="1143"/>
    <n v="572"/>
    <n v="166"/>
    <n v="21"/>
    <n v="21"/>
    <n v="3"/>
    <n v="1926"/>
    <x v="2"/>
    <m/>
    <m/>
    <m/>
    <n v="300000"/>
  </r>
  <r>
    <x v="1"/>
    <s v="01313"/>
    <s v="สอ.ต.บ้านแถว"/>
    <n v="2857"/>
    <n v="1137"/>
    <n v="219"/>
    <n v="52"/>
    <n v="38"/>
    <n v="4"/>
    <n v="4307"/>
    <x v="1"/>
    <m/>
    <m/>
    <m/>
    <n v="330000"/>
  </r>
  <r>
    <x v="1"/>
    <s v="01314"/>
    <s v="สอ.ต.ชายนา"/>
    <n v="3218"/>
    <n v="1032"/>
    <n v="249"/>
    <n v="47"/>
    <n v="44"/>
    <n v="10"/>
    <n v="4600"/>
    <x v="1"/>
    <m/>
    <m/>
    <m/>
    <n v="330000"/>
  </r>
  <r>
    <x v="1"/>
    <s v="01315"/>
    <s v="สอ.ต.สามตุ่ม"/>
    <n v="3297"/>
    <n v="1190"/>
    <n v="208"/>
    <n v="26"/>
    <n v="27"/>
    <n v="4"/>
    <n v="4752"/>
    <x v="1"/>
    <m/>
    <m/>
    <m/>
    <n v="330000"/>
  </r>
  <r>
    <x v="1"/>
    <s v="01316"/>
    <s v="สอ.ต.ลาดงา"/>
    <n v="2097"/>
    <n v="952"/>
    <n v="155"/>
    <n v="16"/>
    <n v="19"/>
    <n v="6"/>
    <n v="3245"/>
    <x v="1"/>
    <m/>
    <m/>
    <m/>
    <n v="330000"/>
  </r>
  <r>
    <x v="1"/>
    <s v="01317"/>
    <s v="สอ.ต.ดอนทอง"/>
    <n v="1734"/>
    <n v="494"/>
    <n v="88"/>
    <n v="33"/>
    <n v="6"/>
    <n v="4"/>
    <n v="2359"/>
    <x v="2"/>
    <m/>
    <m/>
    <m/>
    <n v="300000"/>
  </r>
  <r>
    <x v="1"/>
    <s v="01318"/>
    <s v="สอ.ต.บ้านหลวง"/>
    <n v="1768"/>
    <n v="732"/>
    <n v="110"/>
    <n v="24"/>
    <n v="15"/>
    <n v="5"/>
    <n v="2654"/>
    <x v="2"/>
    <m/>
    <m/>
    <m/>
    <n v="300000"/>
  </r>
  <r>
    <x v="1"/>
    <s v="01319"/>
    <s v="สอ.ต.เจ้าเสด็จ"/>
    <n v="1589"/>
    <n v="782"/>
    <n v="171"/>
    <n v="68"/>
    <n v="46"/>
    <n v="3"/>
    <n v="2659"/>
    <x v="2"/>
    <m/>
    <m/>
    <m/>
    <n v="300000"/>
  </r>
  <r>
    <x v="2"/>
    <s v="01167"/>
    <s v="สอ.ต.จำปา"/>
    <n v="1697"/>
    <n v="796"/>
    <n v="143"/>
    <n v="23"/>
    <n v="30"/>
    <n v="9"/>
    <n v="2698"/>
    <x v="2"/>
    <m/>
    <m/>
    <m/>
    <n v="300000"/>
  </r>
  <r>
    <x v="2"/>
    <s v="01168"/>
    <s v="สอ.ต.ท่าหลวง"/>
    <n v="1926"/>
    <n v="949"/>
    <n v="225"/>
    <n v="28"/>
    <n v="48"/>
    <n v="10"/>
    <n v="3186"/>
    <x v="1"/>
    <m/>
    <m/>
    <m/>
    <n v="330000"/>
  </r>
  <r>
    <x v="2"/>
    <s v="01169"/>
    <s v="สอ.บ้านดอนประดู่"/>
    <n v="850"/>
    <n v="404"/>
    <n v="98"/>
    <n v="17"/>
    <n v="16"/>
    <n v="1"/>
    <n v="1386"/>
    <x v="2"/>
    <m/>
    <m/>
    <m/>
    <n v="300000"/>
  </r>
  <r>
    <x v="2"/>
    <s v="01170"/>
    <s v="สอ.ต.บ้านร่อม"/>
    <n v="1019"/>
    <n v="451"/>
    <n v="77"/>
    <n v="8"/>
    <n v="19"/>
    <n v="3"/>
    <n v="1577"/>
    <x v="2"/>
    <m/>
    <m/>
    <m/>
    <n v="300000"/>
  </r>
  <r>
    <x v="2"/>
    <s v="01171"/>
    <s v="สอ.ต.ศาลาลอย"/>
    <n v="1342"/>
    <n v="684"/>
    <n v="122"/>
    <n v="21"/>
    <n v="24"/>
    <n v="4"/>
    <n v="2197"/>
    <x v="2"/>
    <m/>
    <m/>
    <m/>
    <n v="300000"/>
  </r>
  <r>
    <x v="2"/>
    <s v="01172"/>
    <s v="สอ.บ้านศาลาลอย"/>
    <n v="1436"/>
    <n v="749"/>
    <n v="109"/>
    <n v="29"/>
    <n v="19"/>
    <n v="6"/>
    <n v="2348"/>
    <x v="2"/>
    <m/>
    <m/>
    <m/>
    <n v="300000"/>
  </r>
  <r>
    <x v="2"/>
    <s v="01173"/>
    <s v="สอ.ต.วังแดง"/>
    <n v="1903"/>
    <n v="861"/>
    <n v="226"/>
    <n v="22"/>
    <n v="44"/>
    <n v="5"/>
    <n v="3061"/>
    <x v="1"/>
    <m/>
    <m/>
    <m/>
    <n v="330000"/>
  </r>
  <r>
    <x v="2"/>
    <s v="01174"/>
    <s v="สอ.ต.โพธิ์เอน"/>
    <n v="875"/>
    <n v="480"/>
    <n v="81"/>
    <n v="25"/>
    <n v="16"/>
    <n v="8"/>
    <n v="1485"/>
    <x v="2"/>
    <m/>
    <m/>
    <m/>
    <n v="300000"/>
  </r>
  <r>
    <x v="2"/>
    <s v="01175"/>
    <s v="สอ.ต.โพธิ์เอน"/>
    <n v="1007"/>
    <n v="485"/>
    <n v="77"/>
    <n v="18"/>
    <n v="13"/>
    <n v="3"/>
    <n v="1603"/>
    <x v="2"/>
    <m/>
    <m/>
    <m/>
    <n v="300000"/>
  </r>
  <r>
    <x v="2"/>
    <s v="01176"/>
    <s v="สอ.ต.ปากท่า"/>
    <n v="1641"/>
    <n v="870"/>
    <n v="206"/>
    <n v="27"/>
    <n v="30"/>
    <n v="6"/>
    <n v="2780"/>
    <x v="2"/>
    <m/>
    <m/>
    <m/>
    <n v="300000"/>
  </r>
  <r>
    <x v="2"/>
    <s v="01177"/>
    <s v="สอ.ต.หนองขนาก"/>
    <n v="2447"/>
    <n v="1329"/>
    <n v="359"/>
    <n v="38"/>
    <n v="50"/>
    <n v="10"/>
    <n v="4233"/>
    <x v="1"/>
    <m/>
    <m/>
    <m/>
    <n v="330000"/>
  </r>
  <r>
    <x v="2"/>
    <s v="01178"/>
    <s v="สอ.ต.ท่าเจ้าสนุก"/>
    <n v="2180"/>
    <n v="1031"/>
    <n v="268"/>
    <n v="49"/>
    <n v="47"/>
    <n v="9"/>
    <n v="3584"/>
    <x v="1"/>
    <m/>
    <m/>
    <m/>
    <n v="330000"/>
  </r>
  <r>
    <x v="3"/>
    <s v="01179"/>
    <s v="สอ.เฉลิมพระเกียรติ 60 พรรษา นวมินทราชินี"/>
    <n v="2609"/>
    <n v="1347"/>
    <n v="539"/>
    <n v="68"/>
    <n v="61"/>
    <n v="9"/>
    <n v="4633"/>
    <x v="1"/>
    <m/>
    <m/>
    <m/>
    <n v="330000"/>
  </r>
  <r>
    <x v="3"/>
    <s v="01180"/>
    <s v="สอ.ต.ท่าช้าง"/>
    <n v="2847"/>
    <n v="1096"/>
    <n v="298"/>
    <n v="75"/>
    <n v="50"/>
    <n v="9"/>
    <n v="4375"/>
    <x v="1"/>
    <m/>
    <m/>
    <m/>
    <n v="330000"/>
  </r>
  <r>
    <x v="3"/>
    <s v="01181"/>
    <s v="สอ.ต.บ่อโพง"/>
    <n v="3550"/>
    <n v="494"/>
    <n v="93"/>
    <n v="8"/>
    <n v="14"/>
    <n v="6"/>
    <n v="4165"/>
    <x v="1"/>
    <m/>
    <m/>
    <m/>
    <n v="330000"/>
  </r>
  <r>
    <x v="3"/>
    <s v="01182"/>
    <s v="สอ.ต.บ้านชุ้ง"/>
    <n v="2236"/>
    <n v="1017"/>
    <n v="247"/>
    <n v="18"/>
    <n v="35"/>
    <n v="3"/>
    <n v="3556"/>
    <x v="1"/>
    <m/>
    <m/>
    <m/>
    <n v="330000"/>
  </r>
  <r>
    <x v="3"/>
    <s v="01183"/>
    <s v="สอ.ต.ปากจั่น"/>
    <n v="2190"/>
    <n v="1052"/>
    <n v="162"/>
    <n v="35"/>
    <n v="34"/>
    <n v="5"/>
    <n v="3478"/>
    <x v="1"/>
    <m/>
    <m/>
    <m/>
    <n v="330000"/>
  </r>
  <r>
    <x v="3"/>
    <s v="01184"/>
    <s v="สอ.ต.บางระกำ"/>
    <n v="1763"/>
    <n v="867"/>
    <n v="223"/>
    <n v="39"/>
    <n v="34"/>
    <n v="4"/>
    <n v="2930"/>
    <x v="2"/>
    <m/>
    <m/>
    <m/>
    <n v="300000"/>
  </r>
  <r>
    <x v="3"/>
    <s v="01185"/>
    <s v="สอ.ต.บางพระครู"/>
    <n v="1342"/>
    <n v="680"/>
    <n v="126"/>
    <n v="18"/>
    <n v="23"/>
    <n v="3"/>
    <n v="2192"/>
    <x v="2"/>
    <m/>
    <m/>
    <m/>
    <n v="300000"/>
  </r>
  <r>
    <x v="3"/>
    <s v="01186"/>
    <s v="สอ.ต.แม่ลา"/>
    <n v="1082"/>
    <n v="508"/>
    <n v="190"/>
    <n v="16"/>
    <n v="18"/>
    <n v="2"/>
    <n v="1816"/>
    <x v="2"/>
    <m/>
    <m/>
    <m/>
    <n v="300000"/>
  </r>
  <r>
    <x v="3"/>
    <s v="01187"/>
    <s v="สอ.ต.หนองปลิง"/>
    <n v="1313"/>
    <n v="621"/>
    <n v="119"/>
    <n v="9"/>
    <n v="11"/>
    <n v="3"/>
    <n v="2076"/>
    <x v="2"/>
    <m/>
    <m/>
    <m/>
    <n v="300000"/>
  </r>
  <r>
    <x v="3"/>
    <s v="01188"/>
    <s v="สอ.ต.คลองสะแก"/>
    <n v="1329"/>
    <n v="760"/>
    <n v="143"/>
    <n v="13"/>
    <n v="25"/>
    <n v="2"/>
    <n v="2272"/>
    <x v="2"/>
    <m/>
    <m/>
    <m/>
    <n v="300000"/>
  </r>
  <r>
    <x v="3"/>
    <s v="01189"/>
    <s v="สอ.ต.สามไถ"/>
    <n v="770"/>
    <n v="349"/>
    <n v="83"/>
    <n v="20"/>
    <n v="20"/>
    <n v="4"/>
    <n v="1246"/>
    <x v="2"/>
    <m/>
    <m/>
    <m/>
    <n v="300000"/>
  </r>
  <r>
    <x v="3"/>
    <s v="01190"/>
    <s v="สอ.ต.พระนอน"/>
    <n v="1171"/>
    <n v="578"/>
    <n v="175"/>
    <n v="10"/>
    <n v="22"/>
    <n v="1"/>
    <n v="1957"/>
    <x v="2"/>
    <m/>
    <m/>
    <m/>
    <n v="300000"/>
  </r>
  <r>
    <x v="4"/>
    <s v="01191"/>
    <s v="สอ.ต.บางพลี"/>
    <n v="1805"/>
    <n v="616"/>
    <n v="85"/>
    <n v="12"/>
    <n v="20"/>
    <n v="3"/>
    <n v="2541"/>
    <x v="2"/>
    <m/>
    <m/>
    <m/>
    <n v="300000"/>
  </r>
  <r>
    <x v="4"/>
    <s v="01192"/>
    <s v="สอ.ต.สนามไชย"/>
    <n v="1492"/>
    <n v="852"/>
    <n v="140"/>
    <n v="22"/>
    <n v="24"/>
    <n v="8"/>
    <n v="2538"/>
    <x v="2"/>
    <m/>
    <m/>
    <m/>
    <n v="300000"/>
  </r>
  <r>
    <x v="4"/>
    <s v="01193"/>
    <s v="สอ.ต.บ้านแป้ง"/>
    <n v="440"/>
    <n v="228"/>
    <n v="74"/>
    <n v="15"/>
    <n v="11"/>
    <n v="0"/>
    <n v="768"/>
    <x v="2"/>
    <m/>
    <m/>
    <m/>
    <n v="300000"/>
  </r>
  <r>
    <x v="4"/>
    <s v="01194"/>
    <s v="สอ.ต.หน้าไม้"/>
    <n v="519"/>
    <n v="220"/>
    <n v="80"/>
    <n v="11"/>
    <n v="11"/>
    <n v="2"/>
    <n v="843"/>
    <x v="2"/>
    <m/>
    <m/>
    <m/>
    <n v="300000"/>
  </r>
  <r>
    <x v="4"/>
    <s v="01195"/>
    <s v="สอ.ต.บางยี่โท"/>
    <n v="788"/>
    <n v="466"/>
    <n v="122"/>
    <n v="19"/>
    <n v="29"/>
    <n v="4"/>
    <n v="1428"/>
    <x v="2"/>
    <m/>
    <m/>
    <m/>
    <n v="300000"/>
  </r>
  <r>
    <x v="4"/>
    <s v="01196"/>
    <s v="สอ.ต.แคออก"/>
    <n v="491"/>
    <n v="288"/>
    <n v="57"/>
    <n v="10"/>
    <n v="11"/>
    <n v="0"/>
    <n v="857"/>
    <x v="2"/>
    <m/>
    <m/>
    <m/>
    <n v="300000"/>
  </r>
  <r>
    <x v="4"/>
    <s v="01197"/>
    <s v="สอ.ต.แคตก"/>
    <n v="707"/>
    <n v="313"/>
    <n v="66"/>
    <n v="11"/>
    <n v="16"/>
    <n v="2"/>
    <n v="1115"/>
    <x v="2"/>
    <m/>
    <m/>
    <m/>
    <n v="300000"/>
  </r>
  <r>
    <x v="4"/>
    <s v="01198"/>
    <s v="สอ.ต.ช่างเหล็ก"/>
    <n v="813"/>
    <n v="488"/>
    <n v="73"/>
    <n v="5"/>
    <n v="19"/>
    <n v="1"/>
    <n v="1399"/>
    <x v="2"/>
    <m/>
    <m/>
    <m/>
    <n v="300000"/>
  </r>
  <r>
    <x v="4"/>
    <s v="01199"/>
    <s v="สอ.ต.กระแชง"/>
    <n v="978"/>
    <n v="427"/>
    <n v="116"/>
    <n v="21"/>
    <n v="18"/>
    <n v="1"/>
    <n v="1561"/>
    <x v="2"/>
    <m/>
    <m/>
    <m/>
    <n v="300000"/>
  </r>
  <r>
    <x v="4"/>
    <s v="01200"/>
    <s v="สอ.ต.บ้านกลึง"/>
    <n v="1244"/>
    <n v="545"/>
    <n v="114"/>
    <n v="19"/>
    <n v="25"/>
    <n v="3"/>
    <n v="1950"/>
    <x v="2"/>
    <m/>
    <m/>
    <m/>
    <n v="300000"/>
  </r>
  <r>
    <x v="4"/>
    <s v="01201"/>
    <s v="สอ.ต.ช้างน้อย"/>
    <n v="750"/>
    <n v="277"/>
    <n v="58"/>
    <n v="11"/>
    <n v="9"/>
    <n v="0"/>
    <n v="1105"/>
    <x v="2"/>
    <m/>
    <m/>
    <m/>
    <n v="300000"/>
  </r>
  <r>
    <x v="4"/>
    <s v="01202"/>
    <s v="สอ.ต.ห่อหมก"/>
    <n v="1053"/>
    <n v="551"/>
    <n v="81"/>
    <n v="16"/>
    <n v="17"/>
    <n v="2"/>
    <n v="1720"/>
    <x v="2"/>
    <m/>
    <m/>
    <m/>
    <n v="300000"/>
  </r>
  <r>
    <x v="4"/>
    <s v="01203"/>
    <s v="สอ.ต.ไผ่พระ"/>
    <n v="1369"/>
    <n v="579"/>
    <n v="72"/>
    <n v="0"/>
    <n v="11"/>
    <n v="0"/>
    <n v="2031"/>
    <x v="2"/>
    <m/>
    <m/>
    <m/>
    <n v="300000"/>
  </r>
  <r>
    <x v="4"/>
    <s v="01204"/>
    <s v="สอ.ต.กกแก้วบูรพา"/>
    <n v="1436"/>
    <n v="491"/>
    <n v="69"/>
    <n v="2"/>
    <n v="13"/>
    <n v="5"/>
    <n v="2016"/>
    <x v="2"/>
    <m/>
    <m/>
    <m/>
    <n v="300000"/>
  </r>
  <r>
    <x v="4"/>
    <s v="01205"/>
    <s v="สอ.ต.ไม้ตรา"/>
    <n v="2814"/>
    <n v="1212"/>
    <n v="328"/>
    <n v="25"/>
    <n v="67"/>
    <n v="16"/>
    <n v="4462"/>
    <x v="1"/>
    <m/>
    <m/>
    <m/>
    <n v="330000"/>
  </r>
  <r>
    <x v="4"/>
    <s v="01206"/>
    <s v="สอ.ต.บ้านม้า"/>
    <n v="1846"/>
    <n v="908"/>
    <n v="324"/>
    <n v="19"/>
    <n v="57"/>
    <n v="4"/>
    <n v="3158"/>
    <x v="1"/>
    <m/>
    <m/>
    <m/>
    <n v="330000"/>
  </r>
  <r>
    <x v="4"/>
    <s v="01207"/>
    <s v="สอ.ต.บ้านเกาะ"/>
    <n v="887"/>
    <n v="386"/>
    <n v="94"/>
    <n v="8"/>
    <n v="14"/>
    <n v="2"/>
    <n v="1391"/>
    <x v="2"/>
    <m/>
    <m/>
    <m/>
    <n v="300000"/>
  </r>
  <r>
    <x v="4"/>
    <s v="01208"/>
    <s v="สอ.ต.ราชคราม"/>
    <n v="1225"/>
    <n v="806"/>
    <n v="68"/>
    <n v="26"/>
    <n v="20"/>
    <n v="3"/>
    <n v="2148"/>
    <x v="2"/>
    <m/>
    <m/>
    <m/>
    <n v="300000"/>
  </r>
  <r>
    <x v="4"/>
    <s v="01209"/>
    <s v="สอ.ต.ช้างใหญ่"/>
    <n v="1414"/>
    <n v="255"/>
    <n v="33"/>
    <n v="18"/>
    <n v="10"/>
    <n v="1"/>
    <n v="1731"/>
    <x v="2"/>
    <m/>
    <m/>
    <m/>
    <n v="300000"/>
  </r>
  <r>
    <x v="4"/>
    <s v="01210"/>
    <s v="สอ.คัคณางค์"/>
    <n v="1557"/>
    <n v="961"/>
    <n v="231"/>
    <n v="47"/>
    <n v="44"/>
    <n v="6"/>
    <n v="2846"/>
    <x v="2"/>
    <m/>
    <m/>
    <m/>
    <n v="300000"/>
  </r>
  <r>
    <x v="4"/>
    <s v="01211"/>
    <s v="สอ.ต.โพธิ์แตง"/>
    <n v="721"/>
    <n v="505"/>
    <n v="120"/>
    <n v="8"/>
    <n v="19"/>
    <n v="0"/>
    <n v="1373"/>
    <x v="2"/>
    <m/>
    <m/>
    <m/>
    <n v="300000"/>
  </r>
  <r>
    <x v="4"/>
    <s v="01212"/>
    <s v="สอ.ต.เชียงรากน้อย"/>
    <n v="854"/>
    <n v="528"/>
    <n v="84"/>
    <n v="15"/>
    <n v="21"/>
    <n v="0"/>
    <n v="1502"/>
    <x v="2"/>
    <m/>
    <m/>
    <m/>
    <n v="300000"/>
  </r>
  <r>
    <x v="4"/>
    <s v="01213"/>
    <s v="สอ.ต.โคกช้าง"/>
    <n v="1484"/>
    <n v="634"/>
    <n v="210"/>
    <n v="21"/>
    <n v="19"/>
    <n v="3"/>
    <n v="2371"/>
    <x v="2"/>
    <m/>
    <m/>
    <m/>
    <n v="300000"/>
  </r>
  <r>
    <x v="5"/>
    <s v="01214"/>
    <s v="สอ.ต.บางบาล"/>
    <n v="529"/>
    <n v="290"/>
    <n v="139"/>
    <n v="11"/>
    <n v="19"/>
    <n v="4"/>
    <n v="992"/>
    <x v="2"/>
    <m/>
    <m/>
    <m/>
    <n v="300000"/>
  </r>
  <r>
    <x v="5"/>
    <s v="01215"/>
    <s v="สอ.ต.วัดยม"/>
    <n v="1048"/>
    <n v="400"/>
    <n v="186"/>
    <n v="6"/>
    <n v="18"/>
    <n v="1"/>
    <n v="1659"/>
    <x v="2"/>
    <m/>
    <m/>
    <m/>
    <n v="300000"/>
  </r>
  <r>
    <x v="5"/>
    <s v="01216"/>
    <s v="สอ.ต.ไทรน้อย"/>
    <n v="1591"/>
    <n v="555"/>
    <n v="352"/>
    <n v="29"/>
    <n v="46"/>
    <n v="10"/>
    <n v="2583"/>
    <x v="2"/>
    <m/>
    <m/>
    <m/>
    <n v="300000"/>
  </r>
  <r>
    <x v="5"/>
    <s v="01217"/>
    <s v="สอ.ต.มหาพราหมณ์"/>
    <n v="3163"/>
    <n v="1110"/>
    <n v="449"/>
    <n v="57"/>
    <n v="56"/>
    <n v="10"/>
    <n v="4845"/>
    <x v="1"/>
    <m/>
    <m/>
    <m/>
    <n v="330000"/>
  </r>
  <r>
    <x v="5"/>
    <s v="01218"/>
    <s v="สอ.ต.กบเจา"/>
    <n v="1406"/>
    <n v="543"/>
    <n v="310"/>
    <n v="18"/>
    <n v="36"/>
    <n v="1"/>
    <n v="2314"/>
    <x v="2"/>
    <m/>
    <m/>
    <m/>
    <n v="300000"/>
  </r>
  <r>
    <x v="5"/>
    <s v="01219"/>
    <s v="สอ.ต.บ้านคลัง"/>
    <n v="1179"/>
    <n v="602"/>
    <n v="139"/>
    <n v="19"/>
    <n v="23"/>
    <n v="3"/>
    <n v="1965"/>
    <x v="2"/>
    <m/>
    <m/>
    <m/>
    <n v="300000"/>
  </r>
  <r>
    <x v="5"/>
    <s v="01220"/>
    <s v="สอ.ต.พระขาว"/>
    <n v="2496"/>
    <n v="1012"/>
    <n v="337"/>
    <n v="41"/>
    <n v="51"/>
    <n v="8"/>
    <n v="3945"/>
    <x v="1"/>
    <m/>
    <m/>
    <m/>
    <n v="330000"/>
  </r>
  <r>
    <x v="5"/>
    <s v="01221"/>
    <s v="สอ.ต.น้ำเต้า"/>
    <n v="1359"/>
    <n v="643"/>
    <n v="154"/>
    <n v="20"/>
    <n v="38"/>
    <n v="4"/>
    <n v="2218"/>
    <x v="2"/>
    <m/>
    <m/>
    <m/>
    <n v="300000"/>
  </r>
  <r>
    <x v="5"/>
    <s v="01222"/>
    <s v="สอ.ต.ทางช้าง"/>
    <n v="595"/>
    <n v="277"/>
    <n v="94"/>
    <n v="11"/>
    <n v="13"/>
    <n v="1"/>
    <n v="991"/>
    <x v="2"/>
    <m/>
    <m/>
    <m/>
    <n v="300000"/>
  </r>
  <r>
    <x v="5"/>
    <s v="01223"/>
    <s v="สอ.ต.วัดตะกู"/>
    <n v="808"/>
    <n v="434"/>
    <n v="167"/>
    <n v="4"/>
    <n v="12"/>
    <n v="2"/>
    <n v="1427"/>
    <x v="2"/>
    <m/>
    <m/>
    <m/>
    <n v="300000"/>
  </r>
  <r>
    <x v="5"/>
    <s v="01224"/>
    <s v="สอ.ต.บางหลวง"/>
    <n v="448"/>
    <n v="240"/>
    <n v="117"/>
    <n v="7"/>
    <n v="18"/>
    <n v="5"/>
    <n v="835"/>
    <x v="2"/>
    <m/>
    <m/>
    <m/>
    <n v="300000"/>
  </r>
  <r>
    <x v="5"/>
    <s v="01225"/>
    <s v="สอ.ต.บางหลวงโดด"/>
    <n v="374"/>
    <n v="196"/>
    <n v="66"/>
    <n v="11"/>
    <n v="5"/>
    <n v="0"/>
    <n v="652"/>
    <x v="2"/>
    <m/>
    <m/>
    <m/>
    <n v="300000"/>
  </r>
  <r>
    <x v="5"/>
    <s v="01226"/>
    <s v="สอ.ต.บางหัก"/>
    <n v="702"/>
    <n v="406"/>
    <n v="119"/>
    <n v="13"/>
    <n v="22"/>
    <n v="4"/>
    <n v="1266"/>
    <x v="2"/>
    <m/>
    <m/>
    <m/>
    <n v="300000"/>
  </r>
  <r>
    <x v="5"/>
    <s v="01227"/>
    <s v="สอ.ต.บางชะนี"/>
    <n v="1004"/>
    <n v="490"/>
    <n v="193"/>
    <n v="16"/>
    <n v="25"/>
    <n v="5"/>
    <n v="1733"/>
    <x v="2"/>
    <m/>
    <m/>
    <m/>
    <n v="300000"/>
  </r>
  <r>
    <x v="5"/>
    <s v="01228"/>
    <s v="สอ.ต.บ้านกุ่ม"/>
    <n v="2116"/>
    <n v="944"/>
    <n v="439"/>
    <n v="22"/>
    <n v="46"/>
    <n v="2"/>
    <n v="3569"/>
    <x v="1"/>
    <m/>
    <m/>
    <m/>
    <n v="330000"/>
  </r>
  <r>
    <x v="6"/>
    <s v="01229"/>
    <s v="สอ.คลองเปรม"/>
    <n v="2038"/>
    <n v="950"/>
    <n v="135"/>
    <n v="13"/>
    <n v="35"/>
    <n v="6"/>
    <n v="3177"/>
    <x v="1"/>
    <m/>
    <m/>
    <m/>
    <n v="330000"/>
  </r>
  <r>
    <x v="6"/>
    <s v="01230"/>
    <s v="สอ.ต.เชียงรากน้อย"/>
    <n v="10283"/>
    <n v="3824"/>
    <n v="764"/>
    <n v="133"/>
    <n v="173"/>
    <n v="18"/>
    <n v="15195"/>
    <x v="0"/>
    <m/>
    <m/>
    <m/>
    <n v="360000"/>
  </r>
  <r>
    <x v="6"/>
    <s v="01231"/>
    <s v="สอ.ต.บ้านโพ"/>
    <n v="1602"/>
    <n v="956"/>
    <n v="264"/>
    <n v="22"/>
    <n v="51"/>
    <n v="7"/>
    <n v="2902"/>
    <x v="2"/>
    <m/>
    <m/>
    <m/>
    <n v="300000"/>
  </r>
  <r>
    <x v="6"/>
    <s v="01232"/>
    <s v="สอ.ต.บ้านกรด"/>
    <n v="2787"/>
    <n v="66"/>
    <n v="6"/>
    <n v="4"/>
    <n v="3"/>
    <n v="0"/>
    <n v="2866"/>
    <x v="2"/>
    <m/>
    <m/>
    <m/>
    <n v="300000"/>
  </r>
  <r>
    <x v="6"/>
    <s v="01233"/>
    <s v="สอ.ขนอนเหนือ"/>
    <n v="1177"/>
    <n v="1944"/>
    <n v="509"/>
    <n v="63"/>
    <n v="85"/>
    <n v="14"/>
    <n v="3792"/>
    <x v="1"/>
    <m/>
    <m/>
    <m/>
    <n v="330000"/>
  </r>
  <r>
    <x v="6"/>
    <s v="01234"/>
    <s v="สอ.ต.บางกระสั้น"/>
    <n v="7054"/>
    <n v="3397"/>
    <n v="601"/>
    <n v="88"/>
    <n v="123"/>
    <n v="20"/>
    <n v="11283"/>
    <x v="0"/>
    <m/>
    <m/>
    <m/>
    <n v="360000"/>
  </r>
  <r>
    <x v="6"/>
    <s v="01235"/>
    <s v="สอ.ต.คลองจิก"/>
    <n v="4095"/>
    <n v="2725"/>
    <n v="405"/>
    <n v="51"/>
    <n v="85"/>
    <n v="9"/>
    <n v="7370"/>
    <x v="1"/>
    <m/>
    <m/>
    <m/>
    <n v="330000"/>
  </r>
  <r>
    <x v="6"/>
    <s v="01236"/>
    <s v="สอ.ต.บ้านหว้า"/>
    <n v="1354"/>
    <n v="803"/>
    <n v="192"/>
    <n v="12"/>
    <n v="29"/>
    <n v="8"/>
    <n v="2398"/>
    <x v="2"/>
    <m/>
    <m/>
    <m/>
    <n v="300000"/>
  </r>
  <r>
    <x v="6"/>
    <s v="01237"/>
    <s v="สอ.ต.วัดยม"/>
    <n v="1670"/>
    <n v="820"/>
    <n v="214"/>
    <n v="18"/>
    <n v="32"/>
    <n v="6"/>
    <n v="2760"/>
    <x v="2"/>
    <m/>
    <m/>
    <m/>
    <n v="300000"/>
  </r>
  <r>
    <x v="6"/>
    <s v="01238"/>
    <s v="สอ.ต.บางประแดง"/>
    <n v="1213"/>
    <n v="593"/>
    <n v="159"/>
    <n v="21"/>
    <n v="22"/>
    <n v="7"/>
    <n v="2015"/>
    <x v="2"/>
    <m/>
    <m/>
    <m/>
    <n v="300000"/>
  </r>
  <r>
    <x v="6"/>
    <s v="01239"/>
    <s v="สอ.ต.สามเรือน"/>
    <n v="2200"/>
    <n v="126"/>
    <n v="14"/>
    <n v="8"/>
    <n v="5"/>
    <n v="0"/>
    <n v="2353"/>
    <x v="2"/>
    <m/>
    <m/>
    <m/>
    <n v="300000"/>
  </r>
  <r>
    <x v="6"/>
    <s v="01240"/>
    <s v="สอ.ต.เกาะเกิด"/>
    <n v="1181"/>
    <n v="717"/>
    <n v="106"/>
    <n v="14"/>
    <n v="25"/>
    <n v="1"/>
    <n v="2044"/>
    <x v="2"/>
    <m/>
    <m/>
    <m/>
    <n v="300000"/>
  </r>
  <r>
    <x v="6"/>
    <s v="01241"/>
    <s v="สอ.ต.บ้านพลับ"/>
    <n v="1487"/>
    <n v="620"/>
    <n v="48"/>
    <n v="20"/>
    <n v="10"/>
    <n v="4"/>
    <n v="2189"/>
    <x v="2"/>
    <m/>
    <m/>
    <m/>
    <n v="300000"/>
  </r>
  <r>
    <x v="6"/>
    <s v="01242"/>
    <s v="สอ.ต.บ้านแป้ง 2"/>
    <n v="808"/>
    <n v="143"/>
    <n v="41"/>
    <n v="1"/>
    <n v="6"/>
    <n v="1"/>
    <n v="1000"/>
    <x v="2"/>
    <m/>
    <m/>
    <m/>
    <n v="300000"/>
  </r>
  <r>
    <x v="6"/>
    <s v="01243"/>
    <s v="สอ.ต.บ้านแป้ง 1"/>
    <n v="457"/>
    <n v="505"/>
    <n v="101"/>
    <n v="9"/>
    <n v="19"/>
    <n v="4"/>
    <n v="1095"/>
    <x v="2"/>
    <m/>
    <m/>
    <m/>
    <n v="300000"/>
  </r>
  <r>
    <x v="6"/>
    <s v="01244"/>
    <s v="สอ.ต.คุ้งลาน"/>
    <n v="1541"/>
    <n v="695"/>
    <n v="126"/>
    <n v="17"/>
    <n v="32"/>
    <n v="1"/>
    <n v="2412"/>
    <x v="2"/>
    <m/>
    <m/>
    <m/>
    <n v="300000"/>
  </r>
  <r>
    <x v="6"/>
    <s v="01245"/>
    <s v="สอ.ต.ตลิ่งชัน"/>
    <n v="818"/>
    <n v="494"/>
    <n v="154"/>
    <n v="9"/>
    <n v="19"/>
    <n v="4"/>
    <n v="1498"/>
    <x v="2"/>
    <m/>
    <m/>
    <m/>
    <n v="300000"/>
  </r>
  <r>
    <x v="6"/>
    <s v="01246"/>
    <s v="สอ.บ้านลานเท"/>
    <n v="6055"/>
    <n v="1631"/>
    <n v="299"/>
    <n v="72"/>
    <n v="52"/>
    <n v="10"/>
    <n v="8119"/>
    <x v="0"/>
    <m/>
    <m/>
    <m/>
    <n v="360000"/>
  </r>
  <r>
    <x v="6"/>
    <s v="01247"/>
    <s v="สอ.ต.ตลาดเกรียบ"/>
    <n v="1666"/>
    <n v="798"/>
    <n v="260"/>
    <n v="26"/>
    <n v="40"/>
    <n v="8"/>
    <n v="2798"/>
    <x v="2"/>
    <m/>
    <m/>
    <m/>
    <n v="300000"/>
  </r>
  <r>
    <x v="6"/>
    <s v="01248"/>
    <s v="สอ.ต.ขนอนหลวง"/>
    <n v="945"/>
    <n v="506"/>
    <n v="131"/>
    <n v="6"/>
    <n v="19"/>
    <n v="2"/>
    <n v="1609"/>
    <x v="2"/>
    <m/>
    <m/>
    <m/>
    <n v="300000"/>
  </r>
  <r>
    <x v="7"/>
    <s v="01249"/>
    <s v="สอ.อำเภอบางปะหัน"/>
    <n v="2220"/>
    <n v="869"/>
    <n v="362"/>
    <n v="56"/>
    <n v="59"/>
    <n v="4"/>
    <n v="3570"/>
    <x v="1"/>
    <m/>
    <m/>
    <m/>
    <n v="330000"/>
  </r>
  <r>
    <x v="7"/>
    <s v="01250"/>
    <s v="สอ.ต.ขยาย"/>
    <n v="1010"/>
    <n v="500"/>
    <n v="141"/>
    <n v="5"/>
    <n v="20"/>
    <n v="3"/>
    <n v="1679"/>
    <x v="2"/>
    <m/>
    <m/>
    <m/>
    <n v="300000"/>
  </r>
  <r>
    <x v="7"/>
    <s v="01251"/>
    <s v="สอ.ต.บางเดื่อ"/>
    <n v="2060"/>
    <n v="728"/>
    <n v="188"/>
    <n v="28"/>
    <n v="19"/>
    <n v="4"/>
    <n v="3027"/>
    <x v="1"/>
    <m/>
    <m/>
    <m/>
    <n v="330000"/>
  </r>
  <r>
    <x v="7"/>
    <s v="01252"/>
    <s v="สอ.ต.เสาธง"/>
    <n v="1385"/>
    <n v="569"/>
    <n v="235"/>
    <n v="13"/>
    <n v="35"/>
    <n v="2"/>
    <n v="2239"/>
    <x v="2"/>
    <m/>
    <m/>
    <m/>
    <n v="300000"/>
  </r>
  <r>
    <x v="7"/>
    <s v="01253"/>
    <s v="สอ.ต.ทางกลาง"/>
    <n v="1102"/>
    <n v="547"/>
    <n v="175"/>
    <n v="16"/>
    <n v="33"/>
    <n v="0"/>
    <n v="1873"/>
    <x v="2"/>
    <m/>
    <m/>
    <m/>
    <n v="300000"/>
  </r>
  <r>
    <x v="7"/>
    <s v="01254"/>
    <s v="สอ.ต.บางเพลิง"/>
    <n v="841"/>
    <n v="446"/>
    <n v="78"/>
    <n v="12"/>
    <n v="17"/>
    <n v="0"/>
    <n v="1394"/>
    <x v="2"/>
    <m/>
    <m/>
    <m/>
    <n v="300000"/>
  </r>
  <r>
    <x v="7"/>
    <s v="01255"/>
    <s v="สอ.ต.หันสัง"/>
    <n v="2356"/>
    <n v="967"/>
    <n v="252"/>
    <n v="18"/>
    <n v="43"/>
    <n v="9"/>
    <n v="3645"/>
    <x v="1"/>
    <m/>
    <m/>
    <m/>
    <n v="330000"/>
  </r>
  <r>
    <x v="7"/>
    <s v="01256"/>
    <s v="สอ.ต.ตานิม"/>
    <n v="1162"/>
    <n v="407"/>
    <n v="131"/>
    <n v="12"/>
    <n v="18"/>
    <n v="2"/>
    <n v="1732"/>
    <x v="2"/>
    <m/>
    <m/>
    <m/>
    <n v="300000"/>
  </r>
  <r>
    <x v="7"/>
    <s v="01257"/>
    <s v="สอ.ต.ทับน้ำ"/>
    <n v="1960"/>
    <n v="777"/>
    <n v="190"/>
    <n v="13"/>
    <n v="26"/>
    <n v="4"/>
    <n v="2970"/>
    <x v="2"/>
    <m/>
    <m/>
    <m/>
    <n v="300000"/>
  </r>
  <r>
    <x v="7"/>
    <s v="01258"/>
    <s v="สอ.ต.บ้านม้า"/>
    <n v="990"/>
    <n v="445"/>
    <n v="82"/>
    <n v="9"/>
    <n v="8"/>
    <n v="0"/>
    <n v="1534"/>
    <x v="2"/>
    <m/>
    <m/>
    <m/>
    <n v="300000"/>
  </r>
  <r>
    <x v="7"/>
    <s v="01259"/>
    <s v="สอ.ต.ขวัญเมือง"/>
    <n v="1676"/>
    <n v="741"/>
    <n v="403"/>
    <n v="39"/>
    <n v="46"/>
    <n v="6"/>
    <n v="2911"/>
    <x v="2"/>
    <m/>
    <m/>
    <m/>
    <n v="300000"/>
  </r>
  <r>
    <x v="7"/>
    <s v="01260"/>
    <s v="สอ.ต.บ้านลี่"/>
    <n v="1313"/>
    <n v="557"/>
    <n v="149"/>
    <n v="13"/>
    <n v="21"/>
    <n v="3"/>
    <n v="2056"/>
    <x v="2"/>
    <m/>
    <m/>
    <m/>
    <n v="300000"/>
  </r>
  <r>
    <x v="7"/>
    <s v="01261"/>
    <s v="สอ.ต.โพธิ์สามต้น"/>
    <n v="2292"/>
    <n v="842"/>
    <n v="237"/>
    <n v="25"/>
    <n v="35"/>
    <n v="2"/>
    <n v="3433"/>
    <x v="1"/>
    <m/>
    <m/>
    <m/>
    <n v="330000"/>
  </r>
  <r>
    <x v="7"/>
    <s v="01262"/>
    <s v="สอ.ต.พุทเลา"/>
    <n v="1531"/>
    <n v="790"/>
    <n v="241"/>
    <n v="40"/>
    <n v="54"/>
    <n v="7"/>
    <n v="2663"/>
    <x v="2"/>
    <m/>
    <m/>
    <m/>
    <n v="300000"/>
  </r>
  <r>
    <x v="7"/>
    <s v="01263"/>
    <s v="สอ.ต.ตาลเอน"/>
    <n v="585"/>
    <n v="257"/>
    <n v="59"/>
    <n v="2"/>
    <n v="10"/>
    <n v="2"/>
    <n v="915"/>
    <x v="2"/>
    <m/>
    <m/>
    <m/>
    <n v="300000"/>
  </r>
  <r>
    <x v="7"/>
    <s v="01264"/>
    <s v="สอ.ต.บ้านขล้อ"/>
    <n v="1287"/>
    <n v="610"/>
    <n v="135"/>
    <n v="18"/>
    <n v="21"/>
    <n v="4"/>
    <n v="2075"/>
    <x v="2"/>
    <m/>
    <m/>
    <m/>
    <n v="300000"/>
  </r>
  <r>
    <x v="8"/>
    <s v="01265"/>
    <s v="สอ.ต.ผักไห่(วัดราษฎร์นิยม)"/>
    <n v="2334"/>
    <n v="807"/>
    <n v="369"/>
    <n v="25"/>
    <n v="54"/>
    <n v="8"/>
    <n v="3597"/>
    <x v="1"/>
    <m/>
    <m/>
    <m/>
    <n v="330000"/>
  </r>
  <r>
    <x v="8"/>
    <s v="01266"/>
    <s v="สอ.ต.อมฤต"/>
    <n v="1262"/>
    <n v="475"/>
    <n v="201"/>
    <n v="27"/>
    <n v="26"/>
    <n v="2"/>
    <n v="1993"/>
    <x v="2"/>
    <m/>
    <m/>
    <m/>
    <n v="300000"/>
  </r>
  <r>
    <x v="8"/>
    <s v="01267"/>
    <s v="สอ.ต.บ้านแค"/>
    <n v="1789"/>
    <n v="747"/>
    <n v="245"/>
    <n v="23"/>
    <n v="37"/>
    <n v="6"/>
    <n v="2847"/>
    <x v="2"/>
    <m/>
    <m/>
    <m/>
    <n v="300000"/>
  </r>
  <r>
    <x v="8"/>
    <s v="01268"/>
    <s v="สอ.ต.ลาดน้ำเค็ม"/>
    <n v="1236"/>
    <n v="576"/>
    <n v="139"/>
    <n v="25"/>
    <n v="34"/>
    <n v="2"/>
    <n v="2012"/>
    <x v="2"/>
    <m/>
    <m/>
    <m/>
    <n v="300000"/>
  </r>
  <r>
    <x v="8"/>
    <s v="01269"/>
    <s v="สอ.ต.ท่าดินแดง"/>
    <n v="1048"/>
    <n v="528"/>
    <n v="161"/>
    <n v="38"/>
    <n v="20"/>
    <n v="7"/>
    <n v="1802"/>
    <x v="2"/>
    <m/>
    <m/>
    <m/>
    <n v="300000"/>
  </r>
  <r>
    <x v="8"/>
    <s v="01270"/>
    <s v="สอ.ต.ดอนลาน"/>
    <n v="1241"/>
    <n v="418"/>
    <n v="92"/>
    <n v="3"/>
    <n v="10"/>
    <n v="2"/>
    <n v="1766"/>
    <x v="2"/>
    <m/>
    <m/>
    <m/>
    <n v="300000"/>
  </r>
  <r>
    <x v="8"/>
    <s v="01271"/>
    <s v="สอ.ต.นาคู"/>
    <n v="1146"/>
    <n v="416"/>
    <n v="120"/>
    <n v="23"/>
    <n v="16"/>
    <n v="1"/>
    <n v="1722"/>
    <x v="2"/>
    <m/>
    <m/>
    <m/>
    <n v="300000"/>
  </r>
  <r>
    <x v="8"/>
    <s v="01272"/>
    <s v="สอ.ต.กุฎี"/>
    <n v="1269"/>
    <n v="562"/>
    <n v="220"/>
    <n v="14"/>
    <n v="20"/>
    <n v="3"/>
    <n v="2088"/>
    <x v="2"/>
    <m/>
    <m/>
    <m/>
    <n v="300000"/>
  </r>
  <r>
    <x v="8"/>
    <s v="01273"/>
    <s v="สอ.ต.ลำตะเคียน"/>
    <n v="832"/>
    <n v="284"/>
    <n v="49"/>
    <n v="7"/>
    <n v="8"/>
    <n v="1"/>
    <n v="1181"/>
    <x v="2"/>
    <m/>
    <m/>
    <m/>
    <n v="300000"/>
  </r>
  <r>
    <x v="8"/>
    <s v="01274"/>
    <s v="สอ.ต.โคกช้าง"/>
    <n v="927"/>
    <n v="361"/>
    <n v="101"/>
    <n v="12"/>
    <n v="9.1999999999999993"/>
    <n v="0"/>
    <n v="1410.2"/>
    <x v="2"/>
    <m/>
    <m/>
    <m/>
    <n v="300000"/>
  </r>
  <r>
    <x v="8"/>
    <s v="01275"/>
    <s v="สอ.ต.จักราช"/>
    <n v="1257"/>
    <n v="496"/>
    <n v="147"/>
    <n v="13"/>
    <n v="17"/>
    <n v="2"/>
    <n v="1932"/>
    <x v="2"/>
    <m/>
    <m/>
    <m/>
    <n v="300000"/>
  </r>
  <r>
    <x v="8"/>
    <s v="01276"/>
    <s v="สอ.ต.หนองน้ำใหญ่"/>
    <n v="3839"/>
    <n v="1286"/>
    <n v="244"/>
    <n v="89"/>
    <n v="47"/>
    <n v="12"/>
    <n v="5517"/>
    <x v="1"/>
    <m/>
    <m/>
    <m/>
    <n v="330000"/>
  </r>
  <r>
    <x v="8"/>
    <s v="01277"/>
    <s v="สอ.ต.ลาดชิด"/>
    <n v="2437"/>
    <n v="722"/>
    <n v="237"/>
    <n v="33"/>
    <n v="18"/>
    <n v="8"/>
    <n v="3455"/>
    <x v="1"/>
    <m/>
    <m/>
    <m/>
    <n v="330000"/>
  </r>
  <r>
    <x v="8"/>
    <s v="01278"/>
    <s v="สอ.ต.หน้าโคก"/>
    <n v="1450"/>
    <n v="442"/>
    <n v="148"/>
    <n v="14"/>
    <n v="29"/>
    <n v="2"/>
    <n v="2085"/>
    <x v="2"/>
    <m/>
    <m/>
    <m/>
    <n v="300000"/>
  </r>
  <r>
    <x v="8"/>
    <s v="01279"/>
    <s v="สอ.ต.บ้านใหญ่"/>
    <n v="1197"/>
    <n v="577"/>
    <n v="217"/>
    <n v="18"/>
    <n v="29"/>
    <n v="0"/>
    <n v="2038"/>
    <x v="2"/>
    <m/>
    <m/>
    <m/>
    <n v="300000"/>
  </r>
  <r>
    <x v="9"/>
    <s v="01280"/>
    <s v="สอ.ต.โคกม่วง"/>
    <n v="1868"/>
    <n v="1196"/>
    <n v="258"/>
    <n v="31"/>
    <n v="53"/>
    <n v="4"/>
    <n v="3410"/>
    <x v="1"/>
    <m/>
    <m/>
    <m/>
    <n v="330000"/>
  </r>
  <r>
    <x v="9"/>
    <s v="01281"/>
    <s v="สอ.ต.ระโสม"/>
    <n v="3077"/>
    <n v="1285"/>
    <n v="177"/>
    <n v="28"/>
    <n v="30"/>
    <n v="8"/>
    <n v="4605"/>
    <x v="1"/>
    <m/>
    <m/>
    <m/>
    <n v="330000"/>
  </r>
  <r>
    <x v="9"/>
    <s v="01282"/>
    <s v="สอ.ต.หนองน้ำใส"/>
    <n v="1965"/>
    <n v="855"/>
    <n v="217"/>
    <n v="21"/>
    <n v="26"/>
    <n v="8"/>
    <n v="3092"/>
    <x v="1"/>
    <m/>
    <m/>
    <m/>
    <n v="330000"/>
  </r>
  <r>
    <x v="9"/>
    <s v="01283"/>
    <s v="สอ.ต.ดอนหญ้านาง"/>
    <n v="1579"/>
    <n v="748"/>
    <n v="257"/>
    <n v="12"/>
    <n v="37"/>
    <n v="5"/>
    <n v="2638"/>
    <x v="2"/>
    <m/>
    <m/>
    <m/>
    <n v="300000"/>
  </r>
  <r>
    <x v="9"/>
    <s v="01284"/>
    <s v="สอ.ต.ไผ่ล้อม"/>
    <n v="2099"/>
    <n v="1160"/>
    <n v="259"/>
    <n v="26"/>
    <n v="45"/>
    <n v="5"/>
    <n v="3594"/>
    <x v="1"/>
    <m/>
    <m/>
    <m/>
    <n v="330000"/>
  </r>
  <r>
    <x v="9"/>
    <s v="01285"/>
    <s v="สอ.ต.กระจิว"/>
    <n v="2210"/>
    <n v="1134"/>
    <n v="170"/>
    <n v="24"/>
    <n v="34"/>
    <n v="8"/>
    <n v="3580"/>
    <x v="1"/>
    <m/>
    <m/>
    <m/>
    <n v="330000"/>
  </r>
  <r>
    <x v="9"/>
    <s v="01286"/>
    <s v="สอ.ต.พระแก้ว"/>
    <n v="1546"/>
    <n v="730"/>
    <n v="115"/>
    <n v="10"/>
    <n v="15"/>
    <n v="3"/>
    <n v="2419"/>
    <x v="2"/>
    <m/>
    <m/>
    <m/>
    <n v="300000"/>
  </r>
  <r>
    <x v="10"/>
    <s v="01287"/>
    <s v="สอ.ต.หลักชัย"/>
    <n v="3654"/>
    <n v="1112"/>
    <n v="232"/>
    <n v="44"/>
    <n v="36"/>
    <n v="12"/>
    <n v="5090"/>
    <x v="1"/>
    <m/>
    <m/>
    <m/>
    <n v="330000"/>
  </r>
  <r>
    <x v="10"/>
    <s v="01288"/>
    <s v="สอ.ต.สามเมือง"/>
    <n v="2395"/>
    <n v="854"/>
    <n v="117"/>
    <n v="14"/>
    <n v="20"/>
    <n v="9"/>
    <n v="3409"/>
    <x v="1"/>
    <m/>
    <m/>
    <m/>
    <n v="330000"/>
  </r>
  <r>
    <x v="10"/>
    <s v="01289"/>
    <s v="สอ.พระยาบันลือ"/>
    <n v="3077"/>
    <n v="938"/>
    <n v="227"/>
    <n v="10"/>
    <n v="38"/>
    <n v="6"/>
    <n v="4296"/>
    <x v="1"/>
    <m/>
    <m/>
    <m/>
    <n v="330000"/>
  </r>
  <r>
    <x v="10"/>
    <s v="01290"/>
    <s v="สอ.ต.สิงหนาท"/>
    <n v="2366"/>
    <n v="801"/>
    <n v="131"/>
    <n v="19"/>
    <n v="16"/>
    <n v="3"/>
    <n v="3336"/>
    <x v="1"/>
    <m/>
    <m/>
    <m/>
    <n v="330000"/>
  </r>
  <r>
    <x v="10"/>
    <s v="01291"/>
    <s v="สอ.สิงหนาท 2 (วัดหนองปลาดุก)"/>
    <n v="1658"/>
    <n v="759"/>
    <n v="146"/>
    <n v="32"/>
    <n v="29"/>
    <n v="5"/>
    <n v="2629"/>
    <x v="2"/>
    <m/>
    <m/>
    <m/>
    <n v="300000"/>
  </r>
  <r>
    <x v="10"/>
    <s v="01292"/>
    <s v="สอ.ต.คู้สลอด"/>
    <n v="3047"/>
    <n v="804"/>
    <n v="147"/>
    <n v="60"/>
    <n v="23"/>
    <n v="6"/>
    <n v="4087"/>
    <x v="1"/>
    <m/>
    <m/>
    <m/>
    <n v="330000"/>
  </r>
  <r>
    <x v="10"/>
    <s v="01293"/>
    <s v="สอ.ต.พระยาบันลือ"/>
    <n v="2400"/>
    <n v="759"/>
    <n v="198"/>
    <n v="10"/>
    <n v="13"/>
    <n v="2"/>
    <n v="3382"/>
    <x v="1"/>
    <m/>
    <m/>
    <m/>
    <n v="330000"/>
  </r>
  <r>
    <x v="10"/>
    <s v="14915"/>
    <s v="สอ.ต.ลาดบัวหลวง"/>
    <n v="4846"/>
    <n v="1577"/>
    <n v="472"/>
    <n v="52"/>
    <n v="66"/>
    <n v="17"/>
    <n v="7030"/>
    <x v="1"/>
    <m/>
    <m/>
    <m/>
    <n v="330000"/>
  </r>
  <r>
    <x v="11"/>
    <s v="01294"/>
    <s v="สอ.ต.วังน้อย"/>
    <n v="3035"/>
    <n v="1395"/>
    <n v="391"/>
    <n v="35"/>
    <n v="60"/>
    <n v="11"/>
    <n v="4927"/>
    <x v="1"/>
    <m/>
    <m/>
    <m/>
    <n v="330000"/>
  </r>
  <r>
    <x v="11"/>
    <s v="01295"/>
    <s v="สอ.ต.ลำตาเสา"/>
    <n v="7462"/>
    <n v="4277"/>
    <n v="833"/>
    <n v="86"/>
    <n v="148"/>
    <n v="26"/>
    <n v="12832"/>
    <x v="0"/>
    <m/>
    <m/>
    <m/>
    <n v="360000"/>
  </r>
  <r>
    <x v="11"/>
    <s v="01296"/>
    <s v="สอ.ต.บ่อตาโล่"/>
    <n v="5016"/>
    <n v="1846"/>
    <n v="274"/>
    <n v="15"/>
    <n v="45"/>
    <n v="13"/>
    <n v="7209"/>
    <x v="1"/>
    <m/>
    <m/>
    <m/>
    <n v="330000"/>
  </r>
  <r>
    <x v="11"/>
    <s v="01297"/>
    <s v="สอ.บ้านหนองโสน"/>
    <n v="477"/>
    <n v="468"/>
    <n v="41"/>
    <n v="2"/>
    <n v="10"/>
    <n v="3"/>
    <n v="1001"/>
    <x v="2"/>
    <m/>
    <m/>
    <m/>
    <n v="300000"/>
  </r>
  <r>
    <x v="11"/>
    <s v="01298"/>
    <s v="สอ.ต.สนับทึบ"/>
    <n v="2267"/>
    <n v="969"/>
    <n v="97"/>
    <n v="22"/>
    <n v="11"/>
    <n v="8"/>
    <n v="3374"/>
    <x v="1"/>
    <m/>
    <m/>
    <m/>
    <n v="330000"/>
  </r>
  <r>
    <x v="11"/>
    <s v="01299"/>
    <s v="สอ.ต.พยอม"/>
    <n v="4925"/>
    <n v="3679"/>
    <n v="594"/>
    <n v="52"/>
    <n v="149"/>
    <n v="21"/>
    <n v="9420"/>
    <x v="0"/>
    <m/>
    <m/>
    <m/>
    <n v="360000"/>
  </r>
  <r>
    <x v="11"/>
    <s v="01300"/>
    <s v="สอ.ต.หันตะเภา"/>
    <n v="2361"/>
    <n v="958"/>
    <n v="94"/>
    <n v="26"/>
    <n v="21"/>
    <n v="5"/>
    <n v="3465"/>
    <x v="1"/>
    <m/>
    <m/>
    <m/>
    <n v="330000"/>
  </r>
  <r>
    <x v="11"/>
    <s v="01301"/>
    <s v="สอ.ต.วังจุฬา"/>
    <n v="2186"/>
    <n v="1102"/>
    <n v="175"/>
    <n v="35"/>
    <n v="32"/>
    <n v="8"/>
    <n v="3538"/>
    <x v="1"/>
    <m/>
    <m/>
    <m/>
    <n v="330000"/>
  </r>
  <r>
    <x v="11"/>
    <s v="01302"/>
    <s v="สอ.ต.ข้าวงาม"/>
    <n v="1426"/>
    <n v="721"/>
    <n v="67"/>
    <n v="12"/>
    <n v="20"/>
    <n v="0"/>
    <n v="2246"/>
    <x v="2"/>
    <m/>
    <m/>
    <m/>
    <n v="300000"/>
  </r>
  <r>
    <x v="11"/>
    <s v="01303"/>
    <s v="สอ.ต.ชะแมบ"/>
    <n v="4097"/>
    <n v="1558"/>
    <n v="175"/>
    <n v="20"/>
    <n v="35"/>
    <n v="2"/>
    <n v="5887"/>
    <x v="1"/>
    <m/>
    <m/>
    <m/>
    <n v="330000"/>
  </r>
  <r>
    <x v="12"/>
    <s v="01321"/>
    <s v="สอ.ต.แก้วฟ้า"/>
    <n v="1271"/>
    <n v="476"/>
    <n v="99"/>
    <n v="14"/>
    <n v="15"/>
    <n v="3"/>
    <n v="1878"/>
    <x v="2"/>
    <m/>
    <m/>
    <m/>
    <n v="300000"/>
  </r>
  <r>
    <x v="12"/>
    <s v="01322"/>
    <s v="สอ.ต.เต่าเล่า"/>
    <n v="1465"/>
    <n v="672"/>
    <n v="188"/>
    <n v="35"/>
    <n v="34"/>
    <n v="1"/>
    <n v="2395"/>
    <x v="2"/>
    <m/>
    <m/>
    <m/>
    <n v="300000"/>
  </r>
  <r>
    <x v="12"/>
    <s v="01323"/>
    <s v="สอ.ทางหลวง"/>
    <n v="1150"/>
    <n v="494"/>
    <n v="68"/>
    <n v="4"/>
    <n v="15"/>
    <n v="1"/>
    <n v="1732"/>
    <x v="2"/>
    <m/>
    <m/>
    <m/>
    <n v="300000"/>
  </r>
  <r>
    <x v="12"/>
    <s v="01324"/>
    <s v="สอ.ต.ปลายกลัด"/>
    <n v="1866"/>
    <n v="768"/>
    <n v="142"/>
    <n v="29"/>
    <n v="26"/>
    <n v="4"/>
    <n v="2835"/>
    <x v="2"/>
    <m/>
    <m/>
    <m/>
    <n v="300000"/>
  </r>
  <r>
    <x v="12"/>
    <s v="01325"/>
    <s v="สอ.ต.เทพมงคล"/>
    <n v="2402"/>
    <n v="871"/>
    <n v="150"/>
    <n v="13"/>
    <n v="25"/>
    <n v="11"/>
    <n v="3472"/>
    <x v="1"/>
    <m/>
    <m/>
    <m/>
    <n v="330000"/>
  </r>
  <r>
    <x v="12"/>
    <s v="01326"/>
    <s v="สอ.ต.วังพัฒนา"/>
    <n v="1068"/>
    <n v="306"/>
    <n v="71"/>
    <n v="7"/>
    <n v="9"/>
    <n v="3"/>
    <n v="1464"/>
    <x v="2"/>
    <m/>
    <m/>
    <m/>
    <n v="300000"/>
  </r>
  <r>
    <x v="13"/>
    <s v="01327"/>
    <s v="สอ.อำเภออุทัย"/>
    <n v="4695"/>
    <n v="1671"/>
    <n v="501"/>
    <n v="60"/>
    <n v="70"/>
    <n v="10"/>
    <n v="7007"/>
    <x v="1"/>
    <m/>
    <m/>
    <m/>
    <n v="330000"/>
  </r>
  <r>
    <x v="13"/>
    <s v="01328"/>
    <s v="สอ.ต.คานหาม"/>
    <n v="3742"/>
    <n v="1779"/>
    <n v="487"/>
    <n v="63"/>
    <n v="96"/>
    <n v="4"/>
    <n v="6171"/>
    <x v="1"/>
    <m/>
    <m/>
    <m/>
    <n v="330000"/>
  </r>
  <r>
    <x v="13"/>
    <s v="01329"/>
    <s v="สอ.ต.บ้านช้าง"/>
    <n v="1912"/>
    <n v="668"/>
    <n v="86"/>
    <n v="12"/>
    <n v="17"/>
    <n v="4"/>
    <n v="2699"/>
    <x v="2"/>
    <m/>
    <m/>
    <m/>
    <n v="300000"/>
  </r>
  <r>
    <x v="13"/>
    <s v="01330"/>
    <s v="สอ.ต.สามบัณฑิต"/>
    <n v="2694"/>
    <n v="1201"/>
    <n v="186"/>
    <n v="38"/>
    <n v="43"/>
    <n v="8"/>
    <n v="4170"/>
    <x v="1"/>
    <m/>
    <m/>
    <m/>
    <n v="330000"/>
  </r>
  <r>
    <x v="13"/>
    <s v="01331"/>
    <s v="สอ.ต.บ้านหีบ"/>
    <n v="2395"/>
    <n v="1150"/>
    <n v="110"/>
    <n v="16"/>
    <n v="24"/>
    <n v="12"/>
    <n v="3707"/>
    <x v="1"/>
    <m/>
    <m/>
    <m/>
    <n v="330000"/>
  </r>
  <r>
    <x v="13"/>
    <s v="01332"/>
    <s v="สอ.ต.หนองไม้ซุง"/>
    <n v="2001"/>
    <n v="726"/>
    <n v="104"/>
    <n v="27"/>
    <n v="12"/>
    <n v="4"/>
    <n v="2874"/>
    <x v="2"/>
    <m/>
    <m/>
    <m/>
    <n v="300000"/>
  </r>
  <r>
    <x v="13"/>
    <s v="01333"/>
    <s v="สอ.ต.เสนา"/>
    <n v="1986"/>
    <n v="855"/>
    <n v="109"/>
    <n v="12"/>
    <n v="18"/>
    <n v="5"/>
    <n v="2985"/>
    <x v="2"/>
    <m/>
    <m/>
    <m/>
    <n v="300000"/>
  </r>
  <r>
    <x v="13"/>
    <s v="01334"/>
    <s v="สอ.ต.หนองน้ำส้ม"/>
    <n v="1654"/>
    <n v="738"/>
    <n v="147"/>
    <n v="22"/>
    <n v="19"/>
    <n v="4"/>
    <n v="2584"/>
    <x v="2"/>
    <m/>
    <m/>
    <m/>
    <n v="300000"/>
  </r>
  <r>
    <x v="13"/>
    <s v="01335"/>
    <s v="สอ.ต.โพสาวหาญ"/>
    <n v="2202"/>
    <n v="1115"/>
    <n v="145"/>
    <n v="32"/>
    <n v="32"/>
    <n v="1"/>
    <n v="3527"/>
    <x v="1"/>
    <m/>
    <m/>
    <m/>
    <n v="330000"/>
  </r>
  <r>
    <x v="13"/>
    <s v="01336"/>
    <s v="สอ.ต.ธนู"/>
    <n v="3020"/>
    <n v="1302"/>
    <n v="692"/>
    <n v="64"/>
    <n v="82"/>
    <n v="8"/>
    <n v="5168"/>
    <x v="1"/>
    <m/>
    <m/>
    <m/>
    <n v="330000"/>
  </r>
  <r>
    <x v="13"/>
    <s v="01337"/>
    <s v="สอ.ต.ข้าวเม่า"/>
    <n v="1402"/>
    <n v="610"/>
    <n v="208"/>
    <n v="25"/>
    <n v="26"/>
    <n v="4"/>
    <n v="2275"/>
    <x v="2"/>
    <m/>
    <m/>
    <m/>
    <n v="300000"/>
  </r>
  <r>
    <x v="13"/>
    <s v="01338"/>
    <s v="สอ.บ้านหนองคัดเค้า"/>
    <n v="1254"/>
    <n v="584"/>
    <n v="177"/>
    <n v="12"/>
    <n v="20"/>
    <n v="6"/>
    <n v="2053"/>
    <x v="2"/>
    <m/>
    <m/>
    <m/>
    <n v="300000"/>
  </r>
  <r>
    <x v="14"/>
    <s v="01339"/>
    <s v="สอ.ต.มหาราช"/>
    <n v="761"/>
    <n v="458"/>
    <n v="260"/>
    <n v="46"/>
    <n v="40"/>
    <n v="3"/>
    <n v="1568"/>
    <x v="2"/>
    <m/>
    <m/>
    <m/>
    <n v="300000"/>
  </r>
  <r>
    <x v="14"/>
    <s v="01340"/>
    <s v="สอ.ต.กระทุ่ม"/>
    <n v="480"/>
    <n v="34"/>
    <n v="23"/>
    <n v="1"/>
    <n v="1"/>
    <n v="0"/>
    <n v="539"/>
    <x v="2"/>
    <m/>
    <m/>
    <m/>
    <n v="300000"/>
  </r>
  <r>
    <x v="14"/>
    <s v="01341"/>
    <s v="สอ.บ้านหนองจิก"/>
    <n v="260"/>
    <n v="346"/>
    <n v="79"/>
    <n v="16"/>
    <n v="7"/>
    <n v="0"/>
    <n v="708"/>
    <x v="2"/>
    <m/>
    <m/>
    <m/>
    <n v="300000"/>
  </r>
  <r>
    <x v="14"/>
    <s v="01342"/>
    <s v="สอ.ต.น้ำเต้า"/>
    <n v="760"/>
    <n v="313"/>
    <n v="107"/>
    <n v="18"/>
    <n v="11"/>
    <n v="0"/>
    <n v="1209"/>
    <x v="2"/>
    <m/>
    <m/>
    <m/>
    <n v="300000"/>
  </r>
  <r>
    <x v="14"/>
    <s v="01343"/>
    <s v="สอ.ต.บางนา"/>
    <n v="1092"/>
    <n v="478"/>
    <n v="177"/>
    <n v="30"/>
    <n v="27"/>
    <n v="3"/>
    <n v="1807"/>
    <x v="2"/>
    <m/>
    <m/>
    <m/>
    <n v="300000"/>
  </r>
  <r>
    <x v="14"/>
    <s v="01344"/>
    <s v="สอ.ต.โรงช้าง"/>
    <n v="962"/>
    <n v="386"/>
    <n v="207"/>
    <n v="24"/>
    <n v="19"/>
    <n v="1"/>
    <n v="1599"/>
    <x v="2"/>
    <m/>
    <m/>
    <m/>
    <n v="300000"/>
  </r>
  <r>
    <x v="14"/>
    <s v="01345"/>
    <s v="สอ.ต.เจ้าปลุก"/>
    <n v="840"/>
    <n v="348"/>
    <n v="157"/>
    <n v="12"/>
    <n v="18"/>
    <n v="2"/>
    <n v="1377"/>
    <x v="2"/>
    <m/>
    <m/>
    <m/>
    <n v="300000"/>
  </r>
  <r>
    <x v="14"/>
    <s v="01346"/>
    <s v="สอ.ต.พิตเพียน"/>
    <n v="894"/>
    <n v="428"/>
    <n v="210"/>
    <n v="37"/>
    <n v="26"/>
    <n v="1"/>
    <n v="1596"/>
    <x v="2"/>
    <m/>
    <m/>
    <m/>
    <n v="300000"/>
  </r>
  <r>
    <x v="14"/>
    <s v="01347"/>
    <s v="สอ.ต.บ้านนา"/>
    <n v="2246"/>
    <n v="837"/>
    <n v="277"/>
    <n v="33"/>
    <n v="42"/>
    <n v="6"/>
    <n v="3441"/>
    <x v="1"/>
    <m/>
    <m/>
    <m/>
    <n v="330000"/>
  </r>
  <r>
    <x v="14"/>
    <s v="01348"/>
    <s v="สอ.ต.บ้านขวาง"/>
    <n v="1153"/>
    <n v="475"/>
    <n v="227"/>
    <n v="30"/>
    <n v="28"/>
    <n v="5"/>
    <n v="1918"/>
    <x v="2"/>
    <m/>
    <m/>
    <m/>
    <n v="300000"/>
  </r>
  <r>
    <x v="14"/>
    <s v="01349"/>
    <s v="สอ.ต.ท่าตอ"/>
    <n v="1337"/>
    <n v="490"/>
    <n v="174"/>
    <n v="34"/>
    <n v="35"/>
    <n v="3"/>
    <n v="2073"/>
    <x v="2"/>
    <m/>
    <m/>
    <m/>
    <n v="300000"/>
  </r>
  <r>
    <x v="14"/>
    <s v="01350"/>
    <s v="สอ.ต.บ้านใหม่"/>
    <n v="1233"/>
    <n v="569"/>
    <n v="159"/>
    <n v="27"/>
    <n v="30"/>
    <n v="2"/>
    <n v="2020"/>
    <x v="2"/>
    <m/>
    <m/>
    <m/>
    <n v="300000"/>
  </r>
  <r>
    <x v="15"/>
    <s v="01351"/>
    <s v="สอ.ต.บ้านแพรก"/>
    <n v="1159"/>
    <n v="416"/>
    <n v="316"/>
    <n v="65"/>
    <n v="45"/>
    <n v="5"/>
    <n v="2006"/>
    <x v="2"/>
    <m/>
    <m/>
    <m/>
    <n v="300000"/>
  </r>
  <r>
    <x v="15"/>
    <s v="01352"/>
    <s v="สอ.ต.สำพะเนียง"/>
    <n v="1503"/>
    <n v="556"/>
    <n v="242"/>
    <n v="35"/>
    <n v="35"/>
    <n v="21"/>
    <n v="2392"/>
    <x v="2"/>
    <m/>
    <m/>
    <m/>
    <n v="300000"/>
  </r>
  <r>
    <x v="15"/>
    <s v="01353"/>
    <s v="สอ.ต.คลองน้อย"/>
    <n v="789"/>
    <n v="349"/>
    <n v="97"/>
    <n v="13"/>
    <n v="14"/>
    <n v="2"/>
    <n v="1264"/>
    <x v="2"/>
    <m/>
    <m/>
    <m/>
    <n v="300000"/>
  </r>
  <r>
    <x v="15"/>
    <s v="01354"/>
    <s v="สอ.ต.สองห้อง"/>
    <n v="853"/>
    <n v="396"/>
    <n v="96"/>
    <n v="5"/>
    <n v="14"/>
    <n v="3"/>
    <n v="1367"/>
    <x v="2"/>
    <m/>
    <m/>
    <m/>
    <n v="300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ค่า" updatedVersion="4" minRefreshableVersion="3" useAutoFormatting="1" itemPrintTitles="1" createdVersion="4" indent="0" outline="1" outlineData="1" multipleFieldFilters="0">
  <location ref="A3:G21" firstHeaderRow="1" firstDataRow="2" firstDataCol="1"/>
  <pivotFields count="11">
    <pivotField axis="axisRow" showAl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88" showAll="0"/>
    <pivotField axis="axisCol" dataField="1" showAll="0">
      <items count="6">
        <item x="4"/>
        <item x="3"/>
        <item x="2"/>
        <item x="1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Fields count="1">
    <field x="10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นับจำนวน ของ 11" fld="1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1" dataCaption="ค่า" updatedVersion="4" minRefreshableVersion="3" useAutoFormatting="1" itemPrintTitles="1" createdVersion="4" indent="0" outline="1" outlineData="1" multipleFieldFilters="0">
  <location ref="A3:E21" firstHeaderRow="1" firstDataRow="2" firstDataCol="1"/>
  <pivotFields count="15">
    <pivotField axis="axisRow" showAl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88" showAll="0"/>
    <pivotField axis="axisCol" dataField="1" showAll="0">
      <items count="4">
        <item x="2"/>
        <item x="1"/>
        <item x="0"/>
        <item t="default"/>
      </items>
    </pivotField>
    <pivotField showAll="0"/>
    <pivotField showAll="0"/>
    <pivotField showAll="0"/>
    <pivotField showAll="0"/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Fields count="1">
    <field x="10"/>
  </colFields>
  <colItems count="4">
    <i>
      <x/>
    </i>
    <i>
      <x v="1"/>
    </i>
    <i>
      <x v="2"/>
    </i>
    <i t="grand">
      <x/>
    </i>
  </colItems>
  <dataFields count="1">
    <dataField name="นับจำนวน ของ 11" fld="10" subtotal="count" baseField="0" baseItem="0"/>
  </dataFields>
  <formats count="4">
    <format dxfId="8">
      <pivotArea collapsedLevelsAreSubtotals="1" fieldPosition="0">
        <references count="2">
          <reference field="0" count="1">
            <x v="3"/>
          </reference>
          <reference field="10" count="2" selected="0">
            <x v="0"/>
            <x v="1"/>
          </reference>
        </references>
      </pivotArea>
    </format>
    <format dxfId="7">
      <pivotArea collapsedLevelsAreSubtotals="1" fieldPosition="0">
        <references count="2">
          <reference field="0" count="1">
            <x v="4"/>
          </reference>
          <reference field="10" count="2" selected="0">
            <x v="0"/>
            <x v="1"/>
          </reference>
        </references>
      </pivotArea>
    </format>
    <format dxfId="6">
      <pivotArea collapsedLevelsAreSubtotals="1" fieldPosition="0">
        <references count="2">
          <reference field="0" count="1">
            <x v="6"/>
          </reference>
          <reference field="10" count="0" selected="0"/>
        </references>
      </pivotArea>
    </format>
    <format dxfId="5">
      <pivotArea collapsedLevelsAreSubtotals="1" fieldPosition="0">
        <references count="2">
          <reference field="0" count="1">
            <x v="7"/>
          </reference>
          <reference field="10" count="2" selected="0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ค่า" updatedVersion="4" minRefreshableVersion="3" useAutoFormatting="1" itemPrintTitles="1" createdVersion="4" indent="0" outline="1" outlineData="1" multipleFieldFilters="0">
  <location ref="A3:E21" firstHeaderRow="1" firstDataRow="2" firstDataCol="1"/>
  <pivotFields count="16">
    <pivotField axis="axisRow" showAl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88" showAll="0"/>
    <pivotField axis="axisCol" showAll="0">
      <items count="4">
        <item x="2"/>
        <item x="1"/>
        <item x="0"/>
        <item t="default"/>
      </items>
    </pivotField>
    <pivotField showAll="0"/>
    <pivotField showAll="0"/>
    <pivotField showAll="0"/>
    <pivotField dataField="1" numFmtId="43" showAll="0"/>
    <pivotField showAll="0"/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Fields count="1">
    <field x="10"/>
  </colFields>
  <colItems count="4">
    <i>
      <x/>
    </i>
    <i>
      <x v="1"/>
    </i>
    <i>
      <x v="2"/>
    </i>
    <i t="grand">
      <x/>
    </i>
  </colItems>
  <dataFields count="1">
    <dataField name="ผลรวม ของ 15" fld="14" baseField="0" baseItem="0" numFmtId="43"/>
  </dataFields>
  <formats count="3">
    <format dxfId="4">
      <pivotArea outline="0" collapsedLevelsAreSubtotals="1" fieldPosition="0"/>
    </format>
    <format dxfId="3">
      <pivotArea dataOnly="0" labelOnly="1" grandRow="1" outline="0" fieldPosition="0"/>
    </format>
    <format dxfId="2">
      <pivotArea dataOnly="0" labelOnly="1" fieldPosition="0">
        <references count="1">
          <reference field="0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2"/>
  <sheetViews>
    <sheetView workbookViewId="0">
      <selection sqref="A1:C1"/>
    </sheetView>
  </sheetViews>
  <sheetFormatPr defaultRowHeight="21" x14ac:dyDescent="0.35"/>
  <cols>
    <col min="1" max="1" width="14.28515625" style="2" customWidth="1"/>
    <col min="2" max="2" width="36.5703125" style="2" customWidth="1"/>
    <col min="3" max="3" width="19.85546875" style="63" customWidth="1"/>
    <col min="4" max="4" width="16.85546875" style="2" customWidth="1"/>
    <col min="5" max="5" width="9.140625" style="2"/>
    <col min="6" max="6" width="12.5703125" style="2" customWidth="1"/>
    <col min="7" max="7" width="11.28515625" style="2" bestFit="1" customWidth="1"/>
    <col min="8" max="8" width="10.140625" style="2" bestFit="1" customWidth="1"/>
    <col min="9" max="9" width="20.85546875" style="2" customWidth="1"/>
    <col min="10" max="10" width="18.140625" style="2" customWidth="1"/>
    <col min="11" max="16384" width="9.140625" style="2"/>
  </cols>
  <sheetData>
    <row r="1" spans="1:15" x14ac:dyDescent="0.35">
      <c r="A1" s="334" t="s">
        <v>717</v>
      </c>
      <c r="B1" s="334"/>
      <c r="C1" s="334"/>
      <c r="D1" s="330" t="s">
        <v>250</v>
      </c>
      <c r="E1" s="330"/>
      <c r="F1" s="330"/>
      <c r="G1" s="330"/>
      <c r="H1" s="330"/>
      <c r="I1" s="330"/>
      <c r="J1" s="330"/>
    </row>
    <row r="2" spans="1:15" x14ac:dyDescent="0.35">
      <c r="A2" s="334" t="s">
        <v>861</v>
      </c>
      <c r="B2" s="334"/>
      <c r="C2" s="334"/>
      <c r="D2" s="330" t="s">
        <v>862</v>
      </c>
      <c r="E2" s="330"/>
      <c r="F2" s="330"/>
      <c r="G2" s="330"/>
      <c r="H2" s="330"/>
      <c r="I2" s="330"/>
      <c r="J2" s="330"/>
    </row>
    <row r="3" spans="1:15" x14ac:dyDescent="0.35">
      <c r="D3" s="44"/>
      <c r="E3" s="44"/>
      <c r="F3" s="331" t="s">
        <v>716</v>
      </c>
      <c r="G3" s="332"/>
      <c r="H3" s="332"/>
      <c r="I3" s="332"/>
      <c r="J3" s="333"/>
    </row>
    <row r="4" spans="1:15" x14ac:dyDescent="0.35">
      <c r="A4" s="62" t="s">
        <v>714</v>
      </c>
      <c r="B4" s="62" t="s">
        <v>254</v>
      </c>
      <c r="C4" s="64" t="s">
        <v>715</v>
      </c>
      <c r="D4" s="52" t="s">
        <v>223</v>
      </c>
      <c r="E4" s="52" t="s">
        <v>222</v>
      </c>
      <c r="F4" s="52" t="s">
        <v>218</v>
      </c>
      <c r="G4" s="52" t="s">
        <v>219</v>
      </c>
      <c r="H4" s="52" t="s">
        <v>220</v>
      </c>
      <c r="I4" s="53" t="s">
        <v>224</v>
      </c>
      <c r="J4" s="52" t="s">
        <v>221</v>
      </c>
    </row>
    <row r="5" spans="1:15" x14ac:dyDescent="0.35">
      <c r="A5" s="7" t="s">
        <v>335</v>
      </c>
      <c r="B5" s="7" t="s">
        <v>336</v>
      </c>
      <c r="C5" s="65">
        <v>4733</v>
      </c>
      <c r="D5" s="52" t="s">
        <v>1</v>
      </c>
      <c r="E5" s="52" t="s">
        <v>0</v>
      </c>
      <c r="F5" s="54">
        <v>1058</v>
      </c>
      <c r="G5" s="54">
        <v>1155</v>
      </c>
      <c r="H5" s="54">
        <v>68</v>
      </c>
      <c r="I5" s="54">
        <v>102</v>
      </c>
      <c r="J5" s="54">
        <v>5</v>
      </c>
    </row>
    <row r="6" spans="1:15" x14ac:dyDescent="0.35">
      <c r="A6" s="7" t="s">
        <v>341</v>
      </c>
      <c r="B6" s="7" t="s">
        <v>342</v>
      </c>
      <c r="C6" s="65">
        <v>1231</v>
      </c>
      <c r="D6" s="52" t="s">
        <v>1</v>
      </c>
      <c r="E6" s="52" t="s">
        <v>2</v>
      </c>
      <c r="F6" s="54">
        <v>144</v>
      </c>
      <c r="G6" s="54">
        <v>153</v>
      </c>
      <c r="H6" s="54">
        <v>4</v>
      </c>
      <c r="I6" s="54">
        <v>12</v>
      </c>
      <c r="J6" s="55">
        <v>0</v>
      </c>
    </row>
    <row r="7" spans="1:15" x14ac:dyDescent="0.35">
      <c r="A7" s="7" t="s">
        <v>343</v>
      </c>
      <c r="B7" s="7" t="s">
        <v>709</v>
      </c>
      <c r="C7" s="65">
        <v>9367</v>
      </c>
      <c r="D7" s="52" t="s">
        <v>1</v>
      </c>
      <c r="E7" s="52" t="s">
        <v>3</v>
      </c>
      <c r="F7" s="54">
        <v>359</v>
      </c>
      <c r="G7" s="54">
        <v>154</v>
      </c>
      <c r="H7" s="54">
        <v>10</v>
      </c>
      <c r="I7" s="54">
        <v>15</v>
      </c>
      <c r="J7" s="55">
        <v>4</v>
      </c>
    </row>
    <row r="8" spans="1:15" x14ac:dyDescent="0.35">
      <c r="A8" s="170">
        <v>10660</v>
      </c>
      <c r="B8" s="8" t="s">
        <v>257</v>
      </c>
      <c r="C8" s="66">
        <v>5</v>
      </c>
      <c r="D8" s="52" t="s">
        <v>1</v>
      </c>
      <c r="E8" s="52" t="s">
        <v>4</v>
      </c>
      <c r="F8" s="54">
        <v>520</v>
      </c>
      <c r="G8" s="54">
        <v>339</v>
      </c>
      <c r="H8" s="54">
        <v>28</v>
      </c>
      <c r="I8" s="54">
        <v>33</v>
      </c>
      <c r="J8" s="54">
        <v>5</v>
      </c>
    </row>
    <row r="9" spans="1:15" x14ac:dyDescent="0.35">
      <c r="A9" s="8"/>
      <c r="B9" s="8"/>
      <c r="C9" s="66"/>
      <c r="D9" s="52" t="s">
        <v>1</v>
      </c>
      <c r="E9" s="52" t="s">
        <v>5</v>
      </c>
      <c r="F9" s="54">
        <v>69</v>
      </c>
      <c r="G9" s="54">
        <v>74</v>
      </c>
      <c r="H9" s="54">
        <v>4</v>
      </c>
      <c r="I9" s="54">
        <v>9</v>
      </c>
      <c r="J9" s="55">
        <v>1</v>
      </c>
    </row>
    <row r="10" spans="1:15" x14ac:dyDescent="0.35">
      <c r="A10" s="8"/>
      <c r="B10" s="8"/>
      <c r="C10" s="66"/>
      <c r="D10" s="52" t="s">
        <v>1</v>
      </c>
      <c r="E10" s="52" t="s">
        <v>6</v>
      </c>
      <c r="F10" s="54">
        <v>96</v>
      </c>
      <c r="G10" s="54">
        <v>29</v>
      </c>
      <c r="H10" s="54">
        <v>2</v>
      </c>
      <c r="I10" s="54">
        <v>5</v>
      </c>
      <c r="J10" s="55">
        <v>1</v>
      </c>
    </row>
    <row r="11" spans="1:15" x14ac:dyDescent="0.35">
      <c r="A11" s="8"/>
      <c r="B11" s="8"/>
      <c r="C11" s="66"/>
      <c r="D11" s="52" t="s">
        <v>1</v>
      </c>
      <c r="E11" s="52" t="s">
        <v>7</v>
      </c>
      <c r="F11" s="54">
        <v>128</v>
      </c>
      <c r="G11" s="54">
        <v>86</v>
      </c>
      <c r="H11" s="54">
        <v>7</v>
      </c>
      <c r="I11" s="54">
        <v>9</v>
      </c>
      <c r="J11" s="55">
        <v>1</v>
      </c>
    </row>
    <row r="12" spans="1:15" x14ac:dyDescent="0.35">
      <c r="A12" s="8"/>
      <c r="B12" s="8"/>
      <c r="C12" s="66"/>
      <c r="D12" s="52" t="s">
        <v>1</v>
      </c>
      <c r="E12" s="52" t="s">
        <v>8</v>
      </c>
      <c r="F12" s="54">
        <v>1083</v>
      </c>
      <c r="G12" s="54">
        <v>519</v>
      </c>
      <c r="H12" s="54">
        <v>66</v>
      </c>
      <c r="I12" s="54">
        <v>49</v>
      </c>
      <c r="J12" s="54">
        <v>8</v>
      </c>
    </row>
    <row r="13" spans="1:15" x14ac:dyDescent="0.35">
      <c r="A13" s="8"/>
      <c r="B13" s="8"/>
      <c r="C13" s="66"/>
      <c r="D13" s="52" t="s">
        <v>1</v>
      </c>
      <c r="E13" s="52" t="s">
        <v>9</v>
      </c>
      <c r="F13" s="54">
        <v>123</v>
      </c>
      <c r="G13" s="54">
        <v>50</v>
      </c>
      <c r="H13" s="54">
        <v>2</v>
      </c>
      <c r="I13" s="54">
        <v>10</v>
      </c>
      <c r="J13" s="55">
        <v>2</v>
      </c>
      <c r="K13" s="2">
        <f>SUM(F7:F13)</f>
        <v>2378</v>
      </c>
      <c r="L13" s="2">
        <f t="shared" ref="L13:O13" si="0">SUM(G7:G13)</f>
        <v>1251</v>
      </c>
      <c r="M13" s="2">
        <f t="shared" si="0"/>
        <v>119</v>
      </c>
      <c r="N13" s="2">
        <f t="shared" si="0"/>
        <v>130</v>
      </c>
      <c r="O13" s="2">
        <f t="shared" si="0"/>
        <v>22</v>
      </c>
    </row>
    <row r="14" spans="1:15" x14ac:dyDescent="0.35">
      <c r="A14" s="67" t="s">
        <v>333</v>
      </c>
      <c r="B14" s="67" t="s">
        <v>334</v>
      </c>
      <c r="C14" s="68">
        <v>2964</v>
      </c>
      <c r="D14" s="52" t="s">
        <v>10</v>
      </c>
      <c r="E14" s="52" t="s">
        <v>11</v>
      </c>
      <c r="F14" s="56">
        <v>87</v>
      </c>
      <c r="G14" s="56">
        <v>34</v>
      </c>
      <c r="H14" s="57">
        <v>0</v>
      </c>
      <c r="I14" s="56">
        <v>8</v>
      </c>
      <c r="J14" s="57">
        <v>1</v>
      </c>
    </row>
    <row r="15" spans="1:15" x14ac:dyDescent="0.35">
      <c r="A15" s="69"/>
      <c r="B15" s="69"/>
      <c r="C15" s="70"/>
      <c r="D15" s="52" t="s">
        <v>10</v>
      </c>
      <c r="E15" s="52" t="s">
        <v>12</v>
      </c>
      <c r="F15" s="56">
        <v>119</v>
      </c>
      <c r="G15" s="56">
        <v>36</v>
      </c>
      <c r="H15" s="56">
        <v>2</v>
      </c>
      <c r="I15" s="56">
        <v>3</v>
      </c>
      <c r="J15" s="57">
        <v>1</v>
      </c>
    </row>
    <row r="16" spans="1:15" x14ac:dyDescent="0.35">
      <c r="A16" s="69"/>
      <c r="B16" s="69"/>
      <c r="C16" s="70"/>
      <c r="D16" s="52" t="s">
        <v>10</v>
      </c>
      <c r="E16" s="52" t="s">
        <v>13</v>
      </c>
      <c r="F16" s="56">
        <v>108</v>
      </c>
      <c r="G16" s="56">
        <v>27</v>
      </c>
      <c r="H16" s="56">
        <v>11</v>
      </c>
      <c r="I16" s="56">
        <v>6</v>
      </c>
      <c r="J16" s="56">
        <v>1</v>
      </c>
      <c r="K16" s="2">
        <f>SUM(F14:F16)</f>
        <v>314</v>
      </c>
      <c r="L16" s="2">
        <f t="shared" ref="L16:O16" si="1">SUM(G14:G16)</f>
        <v>97</v>
      </c>
      <c r="M16" s="2">
        <f t="shared" si="1"/>
        <v>13</v>
      </c>
      <c r="N16" s="2">
        <f t="shared" si="1"/>
        <v>17</v>
      </c>
      <c r="O16" s="2">
        <f t="shared" si="1"/>
        <v>3</v>
      </c>
    </row>
    <row r="17" spans="1:15" x14ac:dyDescent="0.35">
      <c r="A17" s="7" t="s">
        <v>344</v>
      </c>
      <c r="B17" s="7" t="s">
        <v>710</v>
      </c>
      <c r="C17" s="65">
        <v>4318</v>
      </c>
      <c r="D17" s="52" t="s">
        <v>14</v>
      </c>
      <c r="E17" s="52" t="s">
        <v>0</v>
      </c>
      <c r="F17" s="54">
        <v>2085</v>
      </c>
      <c r="G17" s="54">
        <v>1971</v>
      </c>
      <c r="H17" s="54">
        <v>329</v>
      </c>
      <c r="I17" s="54">
        <v>147</v>
      </c>
      <c r="J17" s="54">
        <v>193</v>
      </c>
    </row>
    <row r="18" spans="1:15" x14ac:dyDescent="0.35">
      <c r="A18" s="7" t="s">
        <v>331</v>
      </c>
      <c r="B18" s="7" t="s">
        <v>711</v>
      </c>
      <c r="C18" s="65">
        <v>3777</v>
      </c>
      <c r="D18" s="52" t="s">
        <v>14</v>
      </c>
      <c r="E18" s="52" t="s">
        <v>6</v>
      </c>
      <c r="F18" s="54">
        <v>75</v>
      </c>
      <c r="G18" s="54">
        <v>82</v>
      </c>
      <c r="H18" s="54">
        <v>6</v>
      </c>
      <c r="I18" s="54">
        <v>7</v>
      </c>
      <c r="J18" s="54">
        <v>2</v>
      </c>
    </row>
    <row r="19" spans="1:15" x14ac:dyDescent="0.35">
      <c r="A19" s="8"/>
      <c r="B19" s="8"/>
      <c r="C19" s="66"/>
      <c r="D19" s="52" t="s">
        <v>14</v>
      </c>
      <c r="E19" s="52" t="s">
        <v>15</v>
      </c>
      <c r="F19" s="54">
        <v>11</v>
      </c>
      <c r="G19" s="54">
        <v>425</v>
      </c>
      <c r="H19" s="54">
        <v>20</v>
      </c>
      <c r="I19" s="55">
        <v>0</v>
      </c>
      <c r="J19" s="55">
        <v>0</v>
      </c>
      <c r="K19" s="2">
        <f>SUM(F18:F19)</f>
        <v>86</v>
      </c>
      <c r="L19" s="2">
        <f t="shared" ref="L19:O19" si="2">SUM(G18:G19)</f>
        <v>507</v>
      </c>
      <c r="M19" s="2">
        <f t="shared" si="2"/>
        <v>26</v>
      </c>
      <c r="N19" s="2">
        <f t="shared" si="2"/>
        <v>7</v>
      </c>
      <c r="O19" s="2">
        <f t="shared" si="2"/>
        <v>2</v>
      </c>
    </row>
    <row r="20" spans="1:15" x14ac:dyDescent="0.35">
      <c r="A20" s="67" t="s">
        <v>330</v>
      </c>
      <c r="B20" s="67" t="s">
        <v>712</v>
      </c>
      <c r="C20" s="68">
        <v>5933</v>
      </c>
      <c r="D20" s="52" t="s">
        <v>16</v>
      </c>
      <c r="E20" s="52" t="s">
        <v>17</v>
      </c>
      <c r="F20" s="56">
        <v>420</v>
      </c>
      <c r="G20" s="56">
        <v>287</v>
      </c>
      <c r="H20" s="56">
        <v>42</v>
      </c>
      <c r="I20" s="56">
        <v>37</v>
      </c>
      <c r="J20" s="56">
        <v>4</v>
      </c>
    </row>
    <row r="21" spans="1:15" x14ac:dyDescent="0.35">
      <c r="A21" s="69"/>
      <c r="B21" s="69"/>
      <c r="C21" s="70"/>
      <c r="D21" s="52" t="s">
        <v>16</v>
      </c>
      <c r="E21" s="52" t="s">
        <v>2</v>
      </c>
      <c r="F21" s="56">
        <v>207</v>
      </c>
      <c r="G21" s="56">
        <v>86</v>
      </c>
      <c r="H21" s="56">
        <v>8</v>
      </c>
      <c r="I21" s="56">
        <v>13</v>
      </c>
      <c r="J21" s="57">
        <v>1</v>
      </c>
    </row>
    <row r="22" spans="1:15" x14ac:dyDescent="0.35">
      <c r="A22" s="69"/>
      <c r="B22" s="69"/>
      <c r="C22" s="70"/>
      <c r="D22" s="52" t="s">
        <v>16</v>
      </c>
      <c r="E22" s="52" t="s">
        <v>3</v>
      </c>
      <c r="F22" s="56">
        <v>308</v>
      </c>
      <c r="G22" s="56">
        <v>53</v>
      </c>
      <c r="H22" s="56">
        <v>9</v>
      </c>
      <c r="I22" s="56">
        <v>5</v>
      </c>
      <c r="J22" s="57">
        <v>3</v>
      </c>
    </row>
    <row r="23" spans="1:15" x14ac:dyDescent="0.35">
      <c r="A23" s="69"/>
      <c r="B23" s="69"/>
      <c r="C23" s="70"/>
      <c r="D23" s="52" t="s">
        <v>16</v>
      </c>
      <c r="E23" s="52" t="s">
        <v>4</v>
      </c>
      <c r="F23" s="56">
        <v>188</v>
      </c>
      <c r="G23" s="56">
        <v>77</v>
      </c>
      <c r="H23" s="56">
        <v>6</v>
      </c>
      <c r="I23" s="56">
        <v>11</v>
      </c>
      <c r="J23" s="56">
        <v>0</v>
      </c>
    </row>
    <row r="24" spans="1:15" x14ac:dyDescent="0.35">
      <c r="A24" s="69"/>
      <c r="B24" s="69"/>
      <c r="C24" s="70"/>
      <c r="D24" s="52" t="s">
        <v>16</v>
      </c>
      <c r="E24" s="52" t="s">
        <v>5</v>
      </c>
      <c r="F24" s="56">
        <v>251</v>
      </c>
      <c r="G24" s="56">
        <v>82</v>
      </c>
      <c r="H24" s="56">
        <v>14</v>
      </c>
      <c r="I24" s="56">
        <v>11</v>
      </c>
      <c r="J24" s="57">
        <v>4</v>
      </c>
    </row>
    <row r="25" spans="1:15" x14ac:dyDescent="0.35">
      <c r="A25" s="69"/>
      <c r="B25" s="69"/>
      <c r="C25" s="70"/>
      <c r="D25" s="52" t="s">
        <v>16</v>
      </c>
      <c r="E25" s="52" t="s">
        <v>6</v>
      </c>
      <c r="F25" s="56">
        <v>460</v>
      </c>
      <c r="G25" s="56">
        <v>249</v>
      </c>
      <c r="H25" s="56">
        <v>31</v>
      </c>
      <c r="I25" s="56">
        <v>27</v>
      </c>
      <c r="J25" s="56">
        <v>8</v>
      </c>
    </row>
    <row r="26" spans="1:15" x14ac:dyDescent="0.35">
      <c r="A26" s="69"/>
      <c r="B26" s="69"/>
      <c r="C26" s="70"/>
      <c r="D26" s="52" t="s">
        <v>16</v>
      </c>
      <c r="E26" s="52" t="s">
        <v>7</v>
      </c>
      <c r="F26" s="56">
        <v>79</v>
      </c>
      <c r="G26" s="56">
        <v>69</v>
      </c>
      <c r="H26" s="56">
        <v>9</v>
      </c>
      <c r="I26" s="56">
        <v>6</v>
      </c>
      <c r="J26" s="57">
        <v>0</v>
      </c>
    </row>
    <row r="27" spans="1:15" x14ac:dyDescent="0.35">
      <c r="A27" s="69"/>
      <c r="B27" s="69"/>
      <c r="C27" s="70"/>
      <c r="D27" s="52" t="s">
        <v>16</v>
      </c>
      <c r="E27" s="52" t="s">
        <v>8</v>
      </c>
      <c r="F27" s="56">
        <v>486</v>
      </c>
      <c r="G27" s="56">
        <v>223</v>
      </c>
      <c r="H27" s="56">
        <v>76</v>
      </c>
      <c r="I27" s="56">
        <v>37</v>
      </c>
      <c r="J27" s="57">
        <v>5</v>
      </c>
    </row>
    <row r="28" spans="1:15" x14ac:dyDescent="0.35">
      <c r="A28" s="69"/>
      <c r="B28" s="69"/>
      <c r="C28" s="70"/>
      <c r="D28" s="52" t="s">
        <v>16</v>
      </c>
      <c r="E28" s="52" t="s">
        <v>9</v>
      </c>
      <c r="F28" s="56">
        <v>109</v>
      </c>
      <c r="G28" s="56">
        <v>80</v>
      </c>
      <c r="H28" s="56">
        <v>7</v>
      </c>
      <c r="I28" s="56">
        <v>4</v>
      </c>
      <c r="J28" s="57">
        <v>0</v>
      </c>
    </row>
    <row r="29" spans="1:15" x14ac:dyDescent="0.35">
      <c r="A29" s="69"/>
      <c r="B29" s="69"/>
      <c r="C29" s="70"/>
      <c r="D29" s="52" t="s">
        <v>16</v>
      </c>
      <c r="E29" s="52" t="s">
        <v>11</v>
      </c>
      <c r="F29" s="56">
        <v>104</v>
      </c>
      <c r="G29" s="56">
        <v>60</v>
      </c>
      <c r="H29" s="56">
        <v>9</v>
      </c>
      <c r="I29" s="56">
        <v>5</v>
      </c>
      <c r="J29" s="57">
        <v>0</v>
      </c>
      <c r="K29" s="2">
        <f>SUM(F20:F29)</f>
        <v>2612</v>
      </c>
      <c r="L29" s="2">
        <f t="shared" ref="L29:O29" si="3">SUM(G20:G29)</f>
        <v>1266</v>
      </c>
      <c r="M29" s="2">
        <f t="shared" si="3"/>
        <v>211</v>
      </c>
      <c r="N29" s="2">
        <f t="shared" si="3"/>
        <v>156</v>
      </c>
      <c r="O29" s="2">
        <f t="shared" si="3"/>
        <v>25</v>
      </c>
    </row>
    <row r="30" spans="1:15" x14ac:dyDescent="0.35">
      <c r="A30" s="7" t="s">
        <v>332</v>
      </c>
      <c r="B30" s="7" t="s">
        <v>713</v>
      </c>
      <c r="C30" s="65">
        <v>5647</v>
      </c>
      <c r="D30" s="52" t="s">
        <v>18</v>
      </c>
      <c r="E30" s="52" t="s">
        <v>17</v>
      </c>
      <c r="F30" s="54">
        <v>203</v>
      </c>
      <c r="G30" s="54">
        <v>112</v>
      </c>
      <c r="H30" s="54">
        <v>15</v>
      </c>
      <c r="I30" s="55">
        <v>8</v>
      </c>
      <c r="J30" s="54">
        <v>0</v>
      </c>
    </row>
    <row r="31" spans="1:15" x14ac:dyDescent="0.35">
      <c r="A31" s="8"/>
      <c r="B31" s="8"/>
      <c r="C31" s="66"/>
      <c r="D31" s="52" t="s">
        <v>18</v>
      </c>
      <c r="E31" s="52" t="s">
        <v>2</v>
      </c>
      <c r="F31" s="54">
        <v>243</v>
      </c>
      <c r="G31" s="54">
        <v>162</v>
      </c>
      <c r="H31" s="54">
        <v>30</v>
      </c>
      <c r="I31" s="54">
        <v>20</v>
      </c>
      <c r="J31" s="55">
        <v>2</v>
      </c>
    </row>
    <row r="32" spans="1:15" x14ac:dyDescent="0.35">
      <c r="A32" s="8"/>
      <c r="B32" s="8"/>
      <c r="C32" s="66"/>
      <c r="D32" s="52" t="s">
        <v>18</v>
      </c>
      <c r="E32" s="52" t="s">
        <v>3</v>
      </c>
      <c r="F32" s="54">
        <v>373</v>
      </c>
      <c r="G32" s="54">
        <v>229</v>
      </c>
      <c r="H32" s="54">
        <v>38</v>
      </c>
      <c r="I32" s="54">
        <v>37</v>
      </c>
      <c r="J32" s="55">
        <v>5</v>
      </c>
    </row>
    <row r="33" spans="1:15" x14ac:dyDescent="0.35">
      <c r="A33" s="8"/>
      <c r="B33" s="8"/>
      <c r="C33" s="66"/>
      <c r="D33" s="52" t="s">
        <v>18</v>
      </c>
      <c r="E33" s="52" t="s">
        <v>4</v>
      </c>
      <c r="F33" s="54">
        <v>610</v>
      </c>
      <c r="G33" s="54">
        <v>206</v>
      </c>
      <c r="H33" s="54">
        <v>31</v>
      </c>
      <c r="I33" s="54">
        <v>23</v>
      </c>
      <c r="J33" s="54">
        <v>2</v>
      </c>
    </row>
    <row r="34" spans="1:15" x14ac:dyDescent="0.35">
      <c r="A34" s="8"/>
      <c r="B34" s="8"/>
      <c r="C34" s="66"/>
      <c r="D34" s="52" t="s">
        <v>18</v>
      </c>
      <c r="E34" s="52" t="s">
        <v>5</v>
      </c>
      <c r="F34" s="54">
        <v>739</v>
      </c>
      <c r="G34" s="54">
        <v>432</v>
      </c>
      <c r="H34" s="54">
        <v>86</v>
      </c>
      <c r="I34" s="54">
        <v>65</v>
      </c>
      <c r="J34" s="55">
        <v>3</v>
      </c>
      <c r="K34" s="2">
        <f>SUM(F30:F34)</f>
        <v>2168</v>
      </c>
      <c r="L34" s="2">
        <f t="shared" ref="L34:O34" si="4">SUM(G30:G34)</f>
        <v>1141</v>
      </c>
      <c r="M34" s="2">
        <f t="shared" si="4"/>
        <v>200</v>
      </c>
      <c r="N34" s="2">
        <f t="shared" si="4"/>
        <v>153</v>
      </c>
      <c r="O34" s="2">
        <f t="shared" si="4"/>
        <v>12</v>
      </c>
    </row>
    <row r="35" spans="1:15" x14ac:dyDescent="0.35">
      <c r="A35" s="67" t="s">
        <v>258</v>
      </c>
      <c r="B35" s="67" t="s">
        <v>259</v>
      </c>
      <c r="C35" s="68">
        <v>5024</v>
      </c>
      <c r="D35" s="52" t="s">
        <v>19</v>
      </c>
      <c r="E35" s="56" t="s">
        <v>0</v>
      </c>
      <c r="F35" s="56">
        <v>3</v>
      </c>
      <c r="G35" s="56">
        <v>74</v>
      </c>
      <c r="H35" s="56">
        <v>18</v>
      </c>
      <c r="I35" s="57">
        <v>0</v>
      </c>
      <c r="J35" s="56">
        <v>36</v>
      </c>
    </row>
    <row r="36" spans="1:15" x14ac:dyDescent="0.35">
      <c r="A36" s="69"/>
      <c r="B36" s="69"/>
      <c r="C36" s="70"/>
      <c r="D36" s="52" t="s">
        <v>19</v>
      </c>
      <c r="E36" s="56" t="s">
        <v>2</v>
      </c>
      <c r="F36" s="56">
        <v>610</v>
      </c>
      <c r="G36" s="56">
        <v>346</v>
      </c>
      <c r="H36" s="56">
        <v>21</v>
      </c>
      <c r="I36" s="56">
        <v>42</v>
      </c>
      <c r="J36" s="56">
        <v>5</v>
      </c>
    </row>
    <row r="37" spans="1:15" x14ac:dyDescent="0.35">
      <c r="A37" s="69"/>
      <c r="B37" s="69"/>
      <c r="C37" s="70"/>
      <c r="D37" s="52" t="s">
        <v>19</v>
      </c>
      <c r="E37" s="52" t="s">
        <v>5</v>
      </c>
      <c r="F37" s="56">
        <v>549</v>
      </c>
      <c r="G37" s="56">
        <v>305</v>
      </c>
      <c r="H37" s="56">
        <v>26</v>
      </c>
      <c r="I37" s="56">
        <v>41</v>
      </c>
      <c r="J37" s="56">
        <v>3</v>
      </c>
    </row>
    <row r="38" spans="1:15" x14ac:dyDescent="0.35">
      <c r="A38" s="69"/>
      <c r="B38" s="69"/>
      <c r="C38" s="70"/>
      <c r="D38" s="52" t="s">
        <v>19</v>
      </c>
      <c r="E38" s="52" t="s">
        <v>6</v>
      </c>
      <c r="F38" s="56">
        <v>989</v>
      </c>
      <c r="G38" s="56">
        <v>327</v>
      </c>
      <c r="H38" s="56">
        <v>19</v>
      </c>
      <c r="I38" s="56">
        <v>57</v>
      </c>
      <c r="J38" s="57">
        <v>5</v>
      </c>
    </row>
    <row r="39" spans="1:15" x14ac:dyDescent="0.35">
      <c r="A39" s="69"/>
      <c r="B39" s="69"/>
      <c r="C39" s="70"/>
      <c r="D39" s="52" t="s">
        <v>19</v>
      </c>
      <c r="E39" s="52" t="s">
        <v>15</v>
      </c>
      <c r="F39" s="56">
        <v>7</v>
      </c>
      <c r="G39" s="56">
        <v>34</v>
      </c>
      <c r="H39" s="56">
        <v>4</v>
      </c>
      <c r="I39" s="57">
        <v>0</v>
      </c>
      <c r="J39" s="57">
        <v>0</v>
      </c>
      <c r="K39" s="2">
        <f>SUM(F35:F39)</f>
        <v>2158</v>
      </c>
      <c r="L39" s="2">
        <f t="shared" ref="L39:O39" si="5">SUM(G35:G39)</f>
        <v>1086</v>
      </c>
      <c r="M39" s="2">
        <f t="shared" si="5"/>
        <v>88</v>
      </c>
      <c r="N39" s="2">
        <f t="shared" si="5"/>
        <v>140</v>
      </c>
      <c r="O39" s="2">
        <f t="shared" si="5"/>
        <v>49</v>
      </c>
    </row>
    <row r="40" spans="1:15" x14ac:dyDescent="0.35">
      <c r="A40" s="67" t="s">
        <v>260</v>
      </c>
      <c r="B40" s="67" t="s">
        <v>261</v>
      </c>
      <c r="C40" s="68">
        <v>4383</v>
      </c>
      <c r="D40" s="52" t="s">
        <v>19</v>
      </c>
      <c r="E40" s="52" t="s">
        <v>17</v>
      </c>
      <c r="F40" s="56">
        <v>637</v>
      </c>
      <c r="G40" s="56">
        <v>269</v>
      </c>
      <c r="H40" s="56">
        <v>24</v>
      </c>
      <c r="I40" s="57">
        <v>27</v>
      </c>
      <c r="J40" s="57">
        <v>2</v>
      </c>
    </row>
    <row r="41" spans="1:15" x14ac:dyDescent="0.35">
      <c r="C41" s="2"/>
      <c r="D41" s="52" t="s">
        <v>19</v>
      </c>
      <c r="E41" s="56" t="s">
        <v>3</v>
      </c>
      <c r="F41" s="56">
        <v>314</v>
      </c>
      <c r="G41" s="56">
        <v>85</v>
      </c>
      <c r="H41" s="56">
        <v>11</v>
      </c>
      <c r="I41" s="56">
        <v>13</v>
      </c>
      <c r="J41" s="57">
        <v>3</v>
      </c>
    </row>
    <row r="42" spans="1:15" x14ac:dyDescent="0.35">
      <c r="A42" s="69"/>
      <c r="B42" s="69"/>
      <c r="C42" s="70"/>
      <c r="D42" s="52" t="s">
        <v>19</v>
      </c>
      <c r="E42" s="56" t="s">
        <v>4</v>
      </c>
      <c r="F42" s="56">
        <v>693</v>
      </c>
      <c r="G42" s="56">
        <v>294</v>
      </c>
      <c r="H42" s="56">
        <v>25</v>
      </c>
      <c r="I42" s="56">
        <v>32</v>
      </c>
      <c r="J42" s="57">
        <v>7</v>
      </c>
    </row>
    <row r="43" spans="1:15" x14ac:dyDescent="0.35">
      <c r="A43" s="69"/>
      <c r="B43" s="69"/>
      <c r="C43" s="70"/>
      <c r="D43" s="52" t="s">
        <v>19</v>
      </c>
      <c r="E43" s="52" t="s">
        <v>7</v>
      </c>
      <c r="F43" s="56">
        <v>294</v>
      </c>
      <c r="G43" s="56">
        <v>84</v>
      </c>
      <c r="H43" s="56">
        <v>4</v>
      </c>
      <c r="I43" s="56">
        <v>15</v>
      </c>
      <c r="J43" s="56">
        <v>0</v>
      </c>
      <c r="K43" s="2">
        <f>SUM(F40:F43)</f>
        <v>1938</v>
      </c>
      <c r="L43" s="2">
        <f t="shared" ref="L43:O43" si="6">SUM(G40:G43)</f>
        <v>732</v>
      </c>
      <c r="M43" s="2">
        <f t="shared" si="6"/>
        <v>64</v>
      </c>
      <c r="N43" s="2">
        <f t="shared" si="6"/>
        <v>87</v>
      </c>
      <c r="O43" s="2">
        <f t="shared" si="6"/>
        <v>12</v>
      </c>
    </row>
    <row r="44" spans="1:15" x14ac:dyDescent="0.35">
      <c r="A44" s="7" t="s">
        <v>262</v>
      </c>
      <c r="B44" s="7" t="s">
        <v>263</v>
      </c>
      <c r="C44" s="65">
        <v>3924</v>
      </c>
      <c r="D44" s="52" t="s">
        <v>20</v>
      </c>
      <c r="E44" s="52" t="s">
        <v>17</v>
      </c>
      <c r="F44" s="54">
        <v>98</v>
      </c>
      <c r="G44" s="54">
        <v>36</v>
      </c>
      <c r="H44" s="54">
        <v>5</v>
      </c>
      <c r="I44" s="55">
        <v>5</v>
      </c>
      <c r="J44" s="55">
        <v>1</v>
      </c>
    </row>
    <row r="45" spans="1:15" x14ac:dyDescent="0.35">
      <c r="A45" s="8"/>
      <c r="B45" s="8"/>
      <c r="C45" s="66"/>
      <c r="D45" s="52" t="s">
        <v>20</v>
      </c>
      <c r="E45" s="52" t="s">
        <v>2</v>
      </c>
      <c r="F45" s="54">
        <v>136</v>
      </c>
      <c r="G45" s="54">
        <v>37</v>
      </c>
      <c r="H45" s="54">
        <v>4</v>
      </c>
      <c r="I45" s="55">
        <v>11</v>
      </c>
      <c r="J45" s="55">
        <v>0</v>
      </c>
    </row>
    <row r="46" spans="1:15" x14ac:dyDescent="0.35">
      <c r="A46" s="8"/>
      <c r="B46" s="8"/>
      <c r="C46" s="66"/>
      <c r="D46" s="52" t="s">
        <v>20</v>
      </c>
      <c r="E46" s="52" t="s">
        <v>3</v>
      </c>
      <c r="F46" s="54">
        <v>157</v>
      </c>
      <c r="G46" s="54">
        <v>44</v>
      </c>
      <c r="H46" s="54">
        <v>6</v>
      </c>
      <c r="I46" s="54">
        <v>6</v>
      </c>
      <c r="J46" s="55">
        <v>0</v>
      </c>
    </row>
    <row r="47" spans="1:15" x14ac:dyDescent="0.35">
      <c r="A47" s="8"/>
      <c r="B47" s="8"/>
      <c r="C47" s="66"/>
      <c r="D47" s="52" t="s">
        <v>20</v>
      </c>
      <c r="E47" s="52" t="s">
        <v>4</v>
      </c>
      <c r="F47" s="54">
        <v>45</v>
      </c>
      <c r="G47" s="54">
        <v>7</v>
      </c>
      <c r="H47" s="55">
        <v>0</v>
      </c>
      <c r="I47" s="55">
        <v>0</v>
      </c>
      <c r="J47" s="55">
        <v>0</v>
      </c>
    </row>
    <row r="48" spans="1:15" x14ac:dyDescent="0.35">
      <c r="A48" s="8"/>
      <c r="B48" s="8"/>
      <c r="C48" s="66"/>
      <c r="D48" s="52" t="s">
        <v>20</v>
      </c>
      <c r="E48" s="52" t="s">
        <v>5</v>
      </c>
      <c r="F48" s="54">
        <v>78</v>
      </c>
      <c r="G48" s="54">
        <v>13</v>
      </c>
      <c r="H48" s="54">
        <v>1</v>
      </c>
      <c r="I48" s="54">
        <v>5</v>
      </c>
      <c r="J48" s="55">
        <v>1</v>
      </c>
    </row>
    <row r="49" spans="1:15" x14ac:dyDescent="0.35">
      <c r="A49" s="8"/>
      <c r="B49" s="8"/>
      <c r="C49" s="66"/>
      <c r="D49" s="52" t="s">
        <v>20</v>
      </c>
      <c r="E49" s="52" t="s">
        <v>6</v>
      </c>
      <c r="F49" s="54">
        <v>55</v>
      </c>
      <c r="G49" s="54">
        <v>25</v>
      </c>
      <c r="H49" s="54">
        <v>5</v>
      </c>
      <c r="I49" s="54">
        <v>11</v>
      </c>
      <c r="J49" s="55">
        <v>0</v>
      </c>
    </row>
    <row r="50" spans="1:15" x14ac:dyDescent="0.35">
      <c r="A50" s="8"/>
      <c r="B50" s="8"/>
      <c r="C50" s="66"/>
      <c r="D50" s="52" t="s">
        <v>20</v>
      </c>
      <c r="E50" s="52" t="s">
        <v>7</v>
      </c>
      <c r="F50" s="54">
        <v>95</v>
      </c>
      <c r="G50" s="54">
        <v>33</v>
      </c>
      <c r="H50" s="54">
        <v>4</v>
      </c>
      <c r="I50" s="54">
        <v>7</v>
      </c>
      <c r="J50" s="55">
        <v>0</v>
      </c>
    </row>
    <row r="51" spans="1:15" x14ac:dyDescent="0.35">
      <c r="A51" s="8"/>
      <c r="B51" s="8"/>
      <c r="C51" s="66"/>
      <c r="D51" s="52" t="s">
        <v>20</v>
      </c>
      <c r="E51" s="52" t="s">
        <v>8</v>
      </c>
      <c r="F51" s="54">
        <v>105</v>
      </c>
      <c r="G51" s="54">
        <v>48</v>
      </c>
      <c r="H51" s="54">
        <v>2</v>
      </c>
      <c r="I51" s="54">
        <v>6</v>
      </c>
      <c r="J51" s="55">
        <v>0</v>
      </c>
    </row>
    <row r="52" spans="1:15" x14ac:dyDescent="0.35">
      <c r="A52" s="8"/>
      <c r="B52" s="8"/>
      <c r="C52" s="66"/>
      <c r="D52" s="52" t="s">
        <v>20</v>
      </c>
      <c r="E52" s="52" t="s">
        <v>9</v>
      </c>
      <c r="F52" s="54">
        <v>49</v>
      </c>
      <c r="G52" s="54">
        <v>27</v>
      </c>
      <c r="H52" s="54">
        <v>7</v>
      </c>
      <c r="I52" s="54">
        <v>5</v>
      </c>
      <c r="J52" s="55">
        <v>0</v>
      </c>
    </row>
    <row r="53" spans="1:15" x14ac:dyDescent="0.35">
      <c r="A53" s="8"/>
      <c r="B53" s="8"/>
      <c r="C53" s="66"/>
      <c r="D53" s="52" t="s">
        <v>20</v>
      </c>
      <c r="E53" s="52" t="s">
        <v>11</v>
      </c>
      <c r="F53" s="54">
        <v>157</v>
      </c>
      <c r="G53" s="54">
        <v>89</v>
      </c>
      <c r="H53" s="54">
        <v>10</v>
      </c>
      <c r="I53" s="54">
        <v>12</v>
      </c>
      <c r="J53" s="54">
        <v>2</v>
      </c>
    </row>
    <row r="54" spans="1:15" x14ac:dyDescent="0.35">
      <c r="A54" s="8"/>
      <c r="B54" s="8"/>
      <c r="C54" s="66"/>
      <c r="D54" s="52" t="s">
        <v>20</v>
      </c>
      <c r="E54" s="52" t="s">
        <v>12</v>
      </c>
      <c r="F54" s="54">
        <v>102</v>
      </c>
      <c r="G54" s="54">
        <v>24</v>
      </c>
      <c r="H54" s="54">
        <v>1</v>
      </c>
      <c r="I54" s="54">
        <v>4</v>
      </c>
      <c r="J54" s="55">
        <v>0</v>
      </c>
    </row>
    <row r="55" spans="1:15" x14ac:dyDescent="0.35">
      <c r="A55" s="8"/>
      <c r="B55" s="8"/>
      <c r="C55" s="66"/>
      <c r="D55" s="52" t="s">
        <v>20</v>
      </c>
      <c r="E55" s="52" t="s">
        <v>13</v>
      </c>
      <c r="F55" s="54">
        <v>228</v>
      </c>
      <c r="G55" s="54">
        <v>62</v>
      </c>
      <c r="H55" s="54">
        <v>11</v>
      </c>
      <c r="I55" s="54">
        <v>11</v>
      </c>
      <c r="J55" s="55">
        <v>0</v>
      </c>
    </row>
    <row r="56" spans="1:15" x14ac:dyDescent="0.35">
      <c r="A56" s="8"/>
      <c r="B56" s="8"/>
      <c r="C56" s="66"/>
      <c r="D56" s="52" t="s">
        <v>20</v>
      </c>
      <c r="E56" s="52" t="s">
        <v>21</v>
      </c>
      <c r="F56" s="54">
        <v>110</v>
      </c>
      <c r="G56" s="54">
        <v>96</v>
      </c>
      <c r="H56" s="54">
        <v>3</v>
      </c>
      <c r="I56" s="54">
        <v>9</v>
      </c>
      <c r="J56" s="55">
        <v>0</v>
      </c>
    </row>
    <row r="57" spans="1:15" x14ac:dyDescent="0.35">
      <c r="A57" s="8"/>
      <c r="B57" s="8"/>
      <c r="C57" s="66"/>
      <c r="D57" s="52" t="s">
        <v>20</v>
      </c>
      <c r="E57" s="52" t="s">
        <v>22</v>
      </c>
      <c r="F57" s="54">
        <v>85</v>
      </c>
      <c r="G57" s="54">
        <v>16</v>
      </c>
      <c r="H57" s="54">
        <v>1</v>
      </c>
      <c r="I57" s="54">
        <v>4</v>
      </c>
      <c r="J57" s="55">
        <v>0</v>
      </c>
      <c r="K57" s="2">
        <f>SUM(F44:F57)</f>
        <v>1500</v>
      </c>
      <c r="L57" s="2">
        <f t="shared" ref="L57:O57" si="7">SUM(G44:G57)</f>
        <v>557</v>
      </c>
      <c r="M57" s="2">
        <f t="shared" si="7"/>
        <v>60</v>
      </c>
      <c r="N57" s="2">
        <f t="shared" si="7"/>
        <v>96</v>
      </c>
      <c r="O57" s="2">
        <f t="shared" si="7"/>
        <v>4</v>
      </c>
    </row>
    <row r="58" spans="1:15" x14ac:dyDescent="0.35">
      <c r="A58" s="67" t="s">
        <v>264</v>
      </c>
      <c r="B58" s="67" t="s">
        <v>265</v>
      </c>
      <c r="C58" s="68">
        <v>1972</v>
      </c>
      <c r="D58" s="52" t="s">
        <v>23</v>
      </c>
      <c r="E58" s="52" t="s">
        <v>17</v>
      </c>
      <c r="F58" s="56">
        <v>180</v>
      </c>
      <c r="G58" s="56">
        <v>59</v>
      </c>
      <c r="H58" s="56">
        <v>7</v>
      </c>
      <c r="I58" s="57">
        <v>9</v>
      </c>
      <c r="J58" s="56">
        <v>1</v>
      </c>
    </row>
    <row r="59" spans="1:15" x14ac:dyDescent="0.35">
      <c r="A59" s="69"/>
      <c r="B59" s="69"/>
      <c r="C59" s="70"/>
      <c r="D59" s="52" t="s">
        <v>23</v>
      </c>
      <c r="E59" s="52" t="s">
        <v>2</v>
      </c>
      <c r="F59" s="56">
        <v>283</v>
      </c>
      <c r="G59" s="56">
        <v>43</v>
      </c>
      <c r="H59" s="56">
        <v>7</v>
      </c>
      <c r="I59" s="57">
        <v>9</v>
      </c>
      <c r="J59" s="56">
        <v>6</v>
      </c>
    </row>
    <row r="60" spans="1:15" x14ac:dyDescent="0.35">
      <c r="A60" s="69"/>
      <c r="B60" s="69"/>
      <c r="C60" s="70"/>
      <c r="D60" s="52" t="s">
        <v>23</v>
      </c>
      <c r="E60" s="52" t="s">
        <v>3</v>
      </c>
      <c r="F60" s="56">
        <v>63</v>
      </c>
      <c r="G60" s="56">
        <v>41</v>
      </c>
      <c r="H60" s="56">
        <v>2</v>
      </c>
      <c r="I60" s="57">
        <v>6</v>
      </c>
      <c r="J60" s="57">
        <v>0</v>
      </c>
    </row>
    <row r="61" spans="1:15" x14ac:dyDescent="0.35">
      <c r="A61" s="69"/>
      <c r="B61" s="69"/>
      <c r="C61" s="70"/>
      <c r="D61" s="52" t="s">
        <v>23</v>
      </c>
      <c r="E61" s="52" t="s">
        <v>4</v>
      </c>
      <c r="F61" s="56">
        <v>79</v>
      </c>
      <c r="G61" s="56">
        <v>19</v>
      </c>
      <c r="H61" s="57">
        <v>0</v>
      </c>
      <c r="I61" s="57">
        <v>1</v>
      </c>
      <c r="J61" s="57">
        <v>0</v>
      </c>
      <c r="K61" s="2">
        <f>SUM(F58:F61)</f>
        <v>605</v>
      </c>
      <c r="L61" s="2">
        <f t="shared" ref="L61:O61" si="8">SUM(G58:G61)</f>
        <v>162</v>
      </c>
      <c r="M61" s="2">
        <f t="shared" si="8"/>
        <v>16</v>
      </c>
      <c r="N61" s="2">
        <f t="shared" si="8"/>
        <v>25</v>
      </c>
      <c r="O61" s="2">
        <f t="shared" si="8"/>
        <v>7</v>
      </c>
    </row>
    <row r="62" spans="1:15" x14ac:dyDescent="0.35">
      <c r="A62" s="7" t="s">
        <v>266</v>
      </c>
      <c r="B62" s="7" t="s">
        <v>267</v>
      </c>
      <c r="C62" s="65">
        <v>4592</v>
      </c>
      <c r="D62" s="52" t="s">
        <v>24</v>
      </c>
      <c r="E62" s="52" t="s">
        <v>17</v>
      </c>
      <c r="F62" s="54">
        <v>217</v>
      </c>
      <c r="G62" s="54">
        <v>54</v>
      </c>
      <c r="H62" s="54">
        <v>7</v>
      </c>
      <c r="I62" s="54">
        <v>28</v>
      </c>
      <c r="J62" s="54">
        <v>2</v>
      </c>
    </row>
    <row r="63" spans="1:15" x14ac:dyDescent="0.35">
      <c r="A63" s="8"/>
      <c r="B63" s="8"/>
      <c r="C63" s="66"/>
      <c r="D63" s="52" t="s">
        <v>24</v>
      </c>
      <c r="E63" s="52" t="s">
        <v>2</v>
      </c>
      <c r="F63" s="54">
        <v>53</v>
      </c>
      <c r="G63" s="54">
        <v>8</v>
      </c>
      <c r="H63" s="54">
        <v>2</v>
      </c>
      <c r="I63" s="54">
        <v>6</v>
      </c>
      <c r="J63" s="55">
        <v>0</v>
      </c>
    </row>
    <row r="64" spans="1:15" x14ac:dyDescent="0.35">
      <c r="A64" s="8"/>
      <c r="B64" s="8"/>
      <c r="C64" s="66"/>
      <c r="D64" s="52" t="s">
        <v>24</v>
      </c>
      <c r="E64" s="52" t="s">
        <v>3</v>
      </c>
      <c r="F64" s="54">
        <v>34</v>
      </c>
      <c r="G64" s="54">
        <v>26</v>
      </c>
      <c r="H64" s="54">
        <v>1</v>
      </c>
      <c r="I64" s="54">
        <v>1</v>
      </c>
      <c r="J64" s="55">
        <v>0</v>
      </c>
    </row>
    <row r="65" spans="1:17" x14ac:dyDescent="0.35">
      <c r="A65" s="8"/>
      <c r="B65" s="8"/>
      <c r="C65" s="66"/>
      <c r="D65" s="52" t="s">
        <v>24</v>
      </c>
      <c r="E65" s="52" t="s">
        <v>4</v>
      </c>
      <c r="F65" s="54">
        <v>198</v>
      </c>
      <c r="G65" s="54">
        <v>28</v>
      </c>
      <c r="H65" s="54">
        <v>10</v>
      </c>
      <c r="I65" s="54">
        <v>4</v>
      </c>
      <c r="J65" s="55">
        <v>0</v>
      </c>
    </row>
    <row r="66" spans="1:17" x14ac:dyDescent="0.35">
      <c r="A66" s="8"/>
      <c r="B66" s="8"/>
      <c r="C66" s="66"/>
      <c r="D66" s="52" t="s">
        <v>24</v>
      </c>
      <c r="E66" s="52" t="s">
        <v>5</v>
      </c>
      <c r="F66" s="54">
        <v>252</v>
      </c>
      <c r="G66" s="54">
        <v>45</v>
      </c>
      <c r="H66" s="54">
        <v>10</v>
      </c>
      <c r="I66" s="54">
        <v>9</v>
      </c>
      <c r="J66" s="55">
        <v>4</v>
      </c>
    </row>
    <row r="67" spans="1:17" x14ac:dyDescent="0.35">
      <c r="A67" s="8"/>
      <c r="B67" s="8"/>
      <c r="C67" s="66"/>
      <c r="D67" s="52" t="s">
        <v>24</v>
      </c>
      <c r="E67" s="52" t="s">
        <v>6</v>
      </c>
      <c r="F67" s="54">
        <v>247</v>
      </c>
      <c r="G67" s="54">
        <v>80</v>
      </c>
      <c r="H67" s="54">
        <v>11</v>
      </c>
      <c r="I67" s="54">
        <v>12</v>
      </c>
      <c r="J67" s="54">
        <v>3</v>
      </c>
    </row>
    <row r="68" spans="1:17" x14ac:dyDescent="0.35">
      <c r="A68" s="8"/>
      <c r="B68" s="8"/>
      <c r="C68" s="66"/>
      <c r="D68" s="52" t="s">
        <v>24</v>
      </c>
      <c r="E68" s="52" t="s">
        <v>7</v>
      </c>
      <c r="F68" s="54">
        <v>267</v>
      </c>
      <c r="G68" s="54">
        <v>47</v>
      </c>
      <c r="H68" s="54">
        <v>8</v>
      </c>
      <c r="I68" s="54">
        <v>8</v>
      </c>
      <c r="J68" s="55">
        <v>1</v>
      </c>
    </row>
    <row r="69" spans="1:17" x14ac:dyDescent="0.35">
      <c r="A69" s="8"/>
      <c r="B69" s="8"/>
      <c r="C69" s="66"/>
      <c r="D69" s="52" t="s">
        <v>24</v>
      </c>
      <c r="E69" s="52" t="s">
        <v>8</v>
      </c>
      <c r="F69" s="54">
        <v>82</v>
      </c>
      <c r="G69" s="54">
        <v>27</v>
      </c>
      <c r="H69" s="54">
        <v>10</v>
      </c>
      <c r="I69" s="54">
        <v>2</v>
      </c>
      <c r="J69" s="55">
        <v>2</v>
      </c>
    </row>
    <row r="70" spans="1:17" x14ac:dyDescent="0.35">
      <c r="A70" s="8"/>
      <c r="B70" s="8"/>
      <c r="C70" s="66"/>
      <c r="D70" s="52" t="s">
        <v>24</v>
      </c>
      <c r="E70" s="52" t="s">
        <v>9</v>
      </c>
      <c r="F70" s="54">
        <v>206</v>
      </c>
      <c r="G70" s="54">
        <v>20</v>
      </c>
      <c r="H70" s="54">
        <v>5</v>
      </c>
      <c r="I70" s="54">
        <v>8</v>
      </c>
      <c r="J70" s="55">
        <v>1</v>
      </c>
    </row>
    <row r="71" spans="1:17" x14ac:dyDescent="0.35">
      <c r="A71" s="8"/>
      <c r="B71" s="8"/>
      <c r="C71" s="66"/>
      <c r="D71" s="52" t="s">
        <v>24</v>
      </c>
      <c r="E71" s="52" t="s">
        <v>11</v>
      </c>
      <c r="F71" s="54">
        <v>71</v>
      </c>
      <c r="G71" s="54">
        <v>25</v>
      </c>
      <c r="H71" s="54">
        <v>3</v>
      </c>
      <c r="I71" s="54">
        <v>8</v>
      </c>
      <c r="J71" s="55">
        <v>0</v>
      </c>
    </row>
    <row r="72" spans="1:17" x14ac:dyDescent="0.35">
      <c r="A72" s="8"/>
      <c r="B72" s="8"/>
      <c r="C72" s="66"/>
      <c r="D72" s="52" t="s">
        <v>24</v>
      </c>
      <c r="E72" s="52" t="s">
        <v>12</v>
      </c>
      <c r="F72" s="54">
        <v>105</v>
      </c>
      <c r="G72" s="54">
        <v>39</v>
      </c>
      <c r="H72" s="54">
        <v>5</v>
      </c>
      <c r="I72" s="54">
        <v>5</v>
      </c>
      <c r="J72" s="55">
        <v>0</v>
      </c>
      <c r="K72" s="2">
        <f>SUM(F62:F72)</f>
        <v>1732</v>
      </c>
      <c r="L72" s="2">
        <f t="shared" ref="L72:O72" si="9">SUM(G62:G72)</f>
        <v>399</v>
      </c>
      <c r="M72" s="2">
        <f t="shared" si="9"/>
        <v>72</v>
      </c>
      <c r="N72" s="2">
        <f t="shared" si="9"/>
        <v>91</v>
      </c>
      <c r="O72" s="2">
        <f t="shared" si="9"/>
        <v>13</v>
      </c>
      <c r="P72" s="2">
        <f>SUM(K72:O72)</f>
        <v>2307</v>
      </c>
      <c r="Q72" s="168">
        <f>+P72+C62</f>
        <v>6899</v>
      </c>
    </row>
    <row r="73" spans="1:17" x14ac:dyDescent="0.35">
      <c r="A73" s="67" t="s">
        <v>268</v>
      </c>
      <c r="B73" s="67" t="s">
        <v>269</v>
      </c>
      <c r="C73" s="68">
        <v>1723</v>
      </c>
      <c r="D73" s="52" t="s">
        <v>25</v>
      </c>
      <c r="E73" s="52" t="s">
        <v>17</v>
      </c>
      <c r="F73" s="56">
        <v>141</v>
      </c>
      <c r="G73" s="56">
        <v>36</v>
      </c>
      <c r="H73" s="56">
        <v>4</v>
      </c>
      <c r="I73" s="57">
        <v>9</v>
      </c>
      <c r="J73" s="57">
        <v>0</v>
      </c>
    </row>
    <row r="74" spans="1:17" x14ac:dyDescent="0.35">
      <c r="A74" s="67"/>
      <c r="B74" s="67"/>
      <c r="C74" s="68"/>
      <c r="D74" s="52" t="s">
        <v>25</v>
      </c>
      <c r="E74" s="52" t="s">
        <v>2</v>
      </c>
      <c r="F74" s="56">
        <v>224</v>
      </c>
      <c r="G74" s="56">
        <v>60</v>
      </c>
      <c r="H74" s="56">
        <v>3</v>
      </c>
      <c r="I74" s="57">
        <v>8</v>
      </c>
      <c r="J74" s="57">
        <v>2</v>
      </c>
    </row>
    <row r="75" spans="1:17" x14ac:dyDescent="0.35">
      <c r="C75" s="2"/>
      <c r="D75" s="52" t="s">
        <v>25</v>
      </c>
      <c r="E75" s="52" t="s">
        <v>3</v>
      </c>
      <c r="F75" s="56">
        <v>264</v>
      </c>
      <c r="G75" s="56">
        <v>93</v>
      </c>
      <c r="H75" s="56">
        <v>1</v>
      </c>
      <c r="I75" s="57">
        <v>5</v>
      </c>
      <c r="J75" s="57">
        <v>0</v>
      </c>
      <c r="K75" s="2">
        <f>SUM(F73:F75)</f>
        <v>629</v>
      </c>
      <c r="L75" s="2">
        <f t="shared" ref="L75:N75" si="10">SUM(G73:G75)</f>
        <v>189</v>
      </c>
      <c r="M75" s="2">
        <f t="shared" si="10"/>
        <v>8</v>
      </c>
      <c r="N75" s="2">
        <f t="shared" si="10"/>
        <v>22</v>
      </c>
      <c r="O75" s="2">
        <f>SUM(J73:J75)</f>
        <v>2</v>
      </c>
    </row>
    <row r="76" spans="1:17" x14ac:dyDescent="0.35">
      <c r="A76" s="67" t="s">
        <v>270</v>
      </c>
      <c r="B76" s="67" t="s">
        <v>271</v>
      </c>
      <c r="C76" s="68">
        <v>1324</v>
      </c>
      <c r="D76" s="52" t="s">
        <v>25</v>
      </c>
      <c r="E76" s="52" t="s">
        <v>4</v>
      </c>
      <c r="F76" s="56">
        <v>144</v>
      </c>
      <c r="G76" s="56">
        <v>52</v>
      </c>
      <c r="H76" s="56">
        <v>14</v>
      </c>
      <c r="I76" s="57">
        <v>7</v>
      </c>
      <c r="J76" s="56">
        <v>2</v>
      </c>
    </row>
    <row r="77" spans="1:17" x14ac:dyDescent="0.35">
      <c r="A77" s="69"/>
      <c r="B77" s="69"/>
      <c r="C77" s="70"/>
      <c r="D77" s="52" t="s">
        <v>25</v>
      </c>
      <c r="E77" s="52" t="s">
        <v>5</v>
      </c>
      <c r="F77" s="56">
        <v>150</v>
      </c>
      <c r="G77" s="56">
        <v>28</v>
      </c>
      <c r="H77" s="57">
        <v>0</v>
      </c>
      <c r="I77" s="56">
        <v>3</v>
      </c>
      <c r="J77" s="57">
        <v>0</v>
      </c>
    </row>
    <row r="78" spans="1:17" x14ac:dyDescent="0.35">
      <c r="A78" s="69"/>
      <c r="B78" s="69"/>
      <c r="C78" s="70"/>
      <c r="D78" s="52" t="s">
        <v>25</v>
      </c>
      <c r="E78" s="52" t="s">
        <v>6</v>
      </c>
      <c r="F78" s="56">
        <v>96</v>
      </c>
      <c r="G78" s="56">
        <v>26</v>
      </c>
      <c r="H78" s="56">
        <v>6</v>
      </c>
      <c r="I78" s="56">
        <v>7</v>
      </c>
      <c r="J78" s="57">
        <v>0</v>
      </c>
      <c r="K78" s="2">
        <f>SUM(F76:F78)</f>
        <v>390</v>
      </c>
      <c r="L78" s="2">
        <f t="shared" ref="L78:O78" si="11">SUM(G76:G78)</f>
        <v>106</v>
      </c>
      <c r="M78" s="2">
        <f t="shared" si="11"/>
        <v>20</v>
      </c>
      <c r="N78" s="2">
        <f t="shared" si="11"/>
        <v>17</v>
      </c>
      <c r="O78" s="2">
        <f t="shared" si="11"/>
        <v>2</v>
      </c>
    </row>
    <row r="79" spans="1:17" x14ac:dyDescent="0.35">
      <c r="A79" s="7" t="s">
        <v>272</v>
      </c>
      <c r="B79" s="7" t="s">
        <v>273</v>
      </c>
      <c r="C79" s="65">
        <v>3353</v>
      </c>
      <c r="D79" s="52" t="s">
        <v>26</v>
      </c>
      <c r="E79" s="52" t="s">
        <v>17</v>
      </c>
      <c r="F79" s="54">
        <v>232</v>
      </c>
      <c r="G79" s="54">
        <v>36</v>
      </c>
      <c r="H79" s="54">
        <v>2</v>
      </c>
      <c r="I79" s="54">
        <v>12</v>
      </c>
      <c r="J79" s="55">
        <v>2</v>
      </c>
    </row>
    <row r="80" spans="1:17" x14ac:dyDescent="0.35">
      <c r="A80" s="8"/>
      <c r="B80" s="8"/>
      <c r="C80" s="66"/>
      <c r="D80" s="52" t="s">
        <v>26</v>
      </c>
      <c r="E80" s="52" t="s">
        <v>2</v>
      </c>
      <c r="F80" s="54">
        <v>158</v>
      </c>
      <c r="G80" s="54">
        <v>51</v>
      </c>
      <c r="H80" s="54">
        <v>12</v>
      </c>
      <c r="I80" s="54">
        <v>34</v>
      </c>
      <c r="J80" s="55">
        <v>2</v>
      </c>
    </row>
    <row r="81" spans="1:17" x14ac:dyDescent="0.35">
      <c r="A81" s="8"/>
      <c r="B81" s="8"/>
      <c r="C81" s="66"/>
      <c r="D81" s="52" t="s">
        <v>26</v>
      </c>
      <c r="E81" s="52" t="s">
        <v>3</v>
      </c>
      <c r="F81" s="54">
        <v>76</v>
      </c>
      <c r="G81" s="54">
        <v>18</v>
      </c>
      <c r="H81" s="55">
        <v>0</v>
      </c>
      <c r="I81" s="54">
        <v>13</v>
      </c>
      <c r="J81" s="55">
        <v>0</v>
      </c>
    </row>
    <row r="82" spans="1:17" x14ac:dyDescent="0.35">
      <c r="A82" s="8"/>
      <c r="B82" s="8"/>
      <c r="C82" s="66"/>
      <c r="D82" s="52" t="s">
        <v>26</v>
      </c>
      <c r="E82" s="52" t="s">
        <v>4</v>
      </c>
      <c r="F82" s="54">
        <v>41</v>
      </c>
      <c r="G82" s="54">
        <v>21</v>
      </c>
      <c r="H82" s="54">
        <v>2</v>
      </c>
      <c r="I82" s="54">
        <v>10</v>
      </c>
      <c r="J82" s="55">
        <v>0</v>
      </c>
    </row>
    <row r="83" spans="1:17" x14ac:dyDescent="0.35">
      <c r="A83" s="8"/>
      <c r="B83" s="8"/>
      <c r="C83" s="66"/>
      <c r="D83" s="52" t="s">
        <v>26</v>
      </c>
      <c r="E83" s="52" t="s">
        <v>5</v>
      </c>
      <c r="F83" s="54">
        <v>35</v>
      </c>
      <c r="G83" s="54">
        <v>6</v>
      </c>
      <c r="H83" s="54">
        <v>1</v>
      </c>
      <c r="I83" s="54">
        <v>3</v>
      </c>
      <c r="J83" s="55">
        <v>1</v>
      </c>
    </row>
    <row r="84" spans="1:17" x14ac:dyDescent="0.35">
      <c r="A84" s="8"/>
      <c r="B84" s="8"/>
      <c r="C84" s="66"/>
      <c r="D84" s="52" t="s">
        <v>26</v>
      </c>
      <c r="E84" s="52" t="s">
        <v>6</v>
      </c>
      <c r="F84" s="54">
        <v>32</v>
      </c>
      <c r="G84" s="54">
        <v>8</v>
      </c>
      <c r="H84" s="55">
        <v>0</v>
      </c>
      <c r="I84" s="54">
        <v>0</v>
      </c>
      <c r="J84" s="55">
        <v>0</v>
      </c>
    </row>
    <row r="85" spans="1:17" x14ac:dyDescent="0.35">
      <c r="A85" s="8"/>
      <c r="B85" s="8"/>
      <c r="C85" s="66"/>
      <c r="D85" s="52" t="s">
        <v>26</v>
      </c>
      <c r="E85" s="52" t="s">
        <v>7</v>
      </c>
      <c r="F85" s="54">
        <v>166</v>
      </c>
      <c r="G85" s="54">
        <v>37</v>
      </c>
      <c r="H85" s="54">
        <v>10</v>
      </c>
      <c r="I85" s="54">
        <v>13</v>
      </c>
      <c r="J85" s="55">
        <v>0</v>
      </c>
    </row>
    <row r="86" spans="1:17" x14ac:dyDescent="0.35">
      <c r="A86" s="8"/>
      <c r="B86" s="8"/>
      <c r="C86" s="66"/>
      <c r="D86" s="52" t="s">
        <v>26</v>
      </c>
      <c r="E86" s="52" t="s">
        <v>8</v>
      </c>
      <c r="F86" s="54">
        <v>47</v>
      </c>
      <c r="G86" s="54">
        <v>12</v>
      </c>
      <c r="H86" s="54">
        <v>1</v>
      </c>
      <c r="I86" s="54">
        <v>0</v>
      </c>
      <c r="J86" s="55">
        <v>0</v>
      </c>
    </row>
    <row r="87" spans="1:17" x14ac:dyDescent="0.35">
      <c r="A87" s="8"/>
      <c r="B87" s="8"/>
      <c r="C87" s="66"/>
      <c r="D87" s="52" t="s">
        <v>26</v>
      </c>
      <c r="E87" s="52" t="s">
        <v>9</v>
      </c>
      <c r="F87" s="54">
        <v>116</v>
      </c>
      <c r="G87" s="54">
        <v>20</v>
      </c>
      <c r="H87" s="55">
        <v>0</v>
      </c>
      <c r="I87" s="54">
        <v>1</v>
      </c>
      <c r="J87" s="55">
        <v>0</v>
      </c>
    </row>
    <row r="88" spans="1:17" x14ac:dyDescent="0.35">
      <c r="A88" s="8"/>
      <c r="B88" s="8"/>
      <c r="C88" s="66"/>
      <c r="D88" s="52" t="s">
        <v>26</v>
      </c>
      <c r="E88" s="52" t="s">
        <v>11</v>
      </c>
      <c r="F88" s="54">
        <v>51</v>
      </c>
      <c r="G88" s="54">
        <v>90</v>
      </c>
      <c r="H88" s="55">
        <v>0</v>
      </c>
      <c r="I88" s="54">
        <v>2</v>
      </c>
      <c r="J88" s="55">
        <v>0</v>
      </c>
    </row>
    <row r="89" spans="1:17" x14ac:dyDescent="0.35">
      <c r="A89" s="8"/>
      <c r="B89" s="8"/>
      <c r="C89" s="66"/>
      <c r="D89" s="52" t="s">
        <v>26</v>
      </c>
      <c r="E89" s="52" t="s">
        <v>12</v>
      </c>
      <c r="F89" s="54">
        <v>38</v>
      </c>
      <c r="G89" s="54">
        <v>13</v>
      </c>
      <c r="H89" s="55">
        <v>0</v>
      </c>
      <c r="I89" s="54">
        <v>3</v>
      </c>
      <c r="J89" s="55">
        <v>0</v>
      </c>
    </row>
    <row r="90" spans="1:17" x14ac:dyDescent="0.35">
      <c r="A90" s="8"/>
      <c r="B90" s="8"/>
      <c r="C90" s="66"/>
      <c r="D90" s="52" t="s">
        <v>26</v>
      </c>
      <c r="E90" s="52" t="s">
        <v>13</v>
      </c>
      <c r="F90" s="54">
        <v>161</v>
      </c>
      <c r="G90" s="54">
        <v>18</v>
      </c>
      <c r="H90" s="54">
        <v>2</v>
      </c>
      <c r="I90" s="54">
        <v>6</v>
      </c>
      <c r="J90" s="55">
        <v>3</v>
      </c>
    </row>
    <row r="91" spans="1:17" x14ac:dyDescent="0.35">
      <c r="A91" s="8"/>
      <c r="B91" s="8"/>
      <c r="C91" s="66"/>
      <c r="D91" s="52" t="s">
        <v>26</v>
      </c>
      <c r="E91" s="52" t="s">
        <v>21</v>
      </c>
      <c r="F91" s="54">
        <v>97</v>
      </c>
      <c r="G91" s="54">
        <v>6</v>
      </c>
      <c r="H91" s="54">
        <v>3</v>
      </c>
      <c r="I91" s="54">
        <v>5</v>
      </c>
      <c r="J91" s="54">
        <v>1</v>
      </c>
      <c r="K91" s="2">
        <f>SUM(F79:F91)</f>
        <v>1250</v>
      </c>
      <c r="L91" s="2">
        <f t="shared" ref="L91:O91" si="12">SUM(G79:G91)</f>
        <v>336</v>
      </c>
      <c r="M91" s="2">
        <f t="shared" si="12"/>
        <v>33</v>
      </c>
      <c r="N91" s="2">
        <f t="shared" si="12"/>
        <v>102</v>
      </c>
      <c r="O91" s="2">
        <f t="shared" si="12"/>
        <v>9</v>
      </c>
    </row>
    <row r="92" spans="1:17" x14ac:dyDescent="0.35">
      <c r="A92" s="67" t="s">
        <v>274</v>
      </c>
      <c r="B92" s="67" t="s">
        <v>275</v>
      </c>
      <c r="C92" s="68">
        <v>2507</v>
      </c>
      <c r="D92" s="52" t="s">
        <v>27</v>
      </c>
      <c r="E92" s="52" t="s">
        <v>17</v>
      </c>
      <c r="F92" s="56">
        <v>155</v>
      </c>
      <c r="G92" s="56">
        <v>36</v>
      </c>
      <c r="H92" s="57">
        <v>0</v>
      </c>
      <c r="I92" s="57">
        <v>3</v>
      </c>
      <c r="J92" s="57">
        <v>2</v>
      </c>
    </row>
    <row r="93" spans="1:17" x14ac:dyDescent="0.35">
      <c r="A93" s="69"/>
      <c r="B93" s="69"/>
      <c r="C93" s="70"/>
      <c r="D93" s="52" t="s">
        <v>27</v>
      </c>
      <c r="E93" s="52" t="s">
        <v>2</v>
      </c>
      <c r="F93" s="56">
        <v>65</v>
      </c>
      <c r="G93" s="56">
        <v>22</v>
      </c>
      <c r="H93" s="57">
        <v>0</v>
      </c>
      <c r="I93" s="57">
        <v>3</v>
      </c>
      <c r="J93" s="56">
        <v>3</v>
      </c>
    </row>
    <row r="94" spans="1:17" x14ac:dyDescent="0.35">
      <c r="A94" s="69"/>
      <c r="B94" s="69"/>
      <c r="C94" s="70"/>
      <c r="D94" s="52" t="s">
        <v>27</v>
      </c>
      <c r="E94" s="52" t="s">
        <v>3</v>
      </c>
      <c r="F94" s="56">
        <v>94</v>
      </c>
      <c r="G94" s="56">
        <v>38</v>
      </c>
      <c r="H94" s="56">
        <v>5</v>
      </c>
      <c r="I94" s="57">
        <v>5</v>
      </c>
      <c r="J94" s="56">
        <v>2</v>
      </c>
    </row>
    <row r="95" spans="1:17" x14ac:dyDescent="0.35">
      <c r="A95" s="69"/>
      <c r="B95" s="69"/>
      <c r="C95" s="70"/>
      <c r="D95" s="52" t="s">
        <v>27</v>
      </c>
      <c r="E95" s="52" t="s">
        <v>4</v>
      </c>
      <c r="F95" s="56">
        <v>285</v>
      </c>
      <c r="G95" s="56">
        <v>204</v>
      </c>
      <c r="H95" s="56">
        <v>16</v>
      </c>
      <c r="I95" s="57">
        <v>16</v>
      </c>
      <c r="J95" s="57">
        <v>4</v>
      </c>
    </row>
    <row r="96" spans="1:17" x14ac:dyDescent="0.35">
      <c r="A96" s="69"/>
      <c r="B96" s="69"/>
      <c r="C96" s="70"/>
      <c r="D96" s="52" t="s">
        <v>27</v>
      </c>
      <c r="E96" s="52" t="s">
        <v>5</v>
      </c>
      <c r="F96" s="56">
        <v>454</v>
      </c>
      <c r="G96" s="56">
        <v>400</v>
      </c>
      <c r="H96" s="56">
        <v>18</v>
      </c>
      <c r="I96" s="56">
        <v>33</v>
      </c>
      <c r="J96" s="56">
        <v>3</v>
      </c>
      <c r="K96" s="2">
        <f>SUM(F92:F96)</f>
        <v>1053</v>
      </c>
      <c r="L96" s="2">
        <f t="shared" ref="L96:O96" si="13">SUM(G92:G96)</f>
        <v>700</v>
      </c>
      <c r="M96" s="2">
        <f t="shared" si="13"/>
        <v>39</v>
      </c>
      <c r="N96" s="2">
        <f t="shared" si="13"/>
        <v>60</v>
      </c>
      <c r="O96" s="2">
        <f t="shared" si="13"/>
        <v>14</v>
      </c>
      <c r="P96" s="2">
        <f>SUM(K96:O96)</f>
        <v>1866</v>
      </c>
      <c r="Q96" s="168">
        <f>+P96+C92</f>
        <v>4373</v>
      </c>
    </row>
    <row r="97" spans="1:17" x14ac:dyDescent="0.35">
      <c r="A97" s="7" t="s">
        <v>276</v>
      </c>
      <c r="B97" s="7" t="s">
        <v>277</v>
      </c>
      <c r="C97" s="65">
        <v>3521</v>
      </c>
      <c r="D97" s="52" t="s">
        <v>28</v>
      </c>
      <c r="E97" s="52" t="s">
        <v>17</v>
      </c>
      <c r="F97" s="54">
        <v>484</v>
      </c>
      <c r="G97" s="54">
        <v>270</v>
      </c>
      <c r="H97" s="54">
        <v>32</v>
      </c>
      <c r="I97" s="54">
        <v>32</v>
      </c>
      <c r="J97" s="55">
        <v>0</v>
      </c>
    </row>
    <row r="98" spans="1:17" x14ac:dyDescent="0.35">
      <c r="A98" s="7" t="s">
        <v>337</v>
      </c>
      <c r="B98" s="7" t="s">
        <v>338</v>
      </c>
      <c r="C98" s="65">
        <v>1031</v>
      </c>
      <c r="D98" s="52" t="s">
        <v>28</v>
      </c>
      <c r="E98" s="52" t="s">
        <v>2</v>
      </c>
      <c r="F98" s="54">
        <v>211</v>
      </c>
      <c r="G98" s="54">
        <v>123</v>
      </c>
      <c r="H98" s="54">
        <v>11</v>
      </c>
      <c r="I98" s="54">
        <v>20</v>
      </c>
      <c r="J98" s="55">
        <v>3</v>
      </c>
    </row>
    <row r="99" spans="1:17" x14ac:dyDescent="0.35">
      <c r="A99" s="7" t="s">
        <v>339</v>
      </c>
      <c r="B99" s="7" t="s">
        <v>340</v>
      </c>
      <c r="C99" s="65">
        <v>982</v>
      </c>
      <c r="D99" s="52" t="s">
        <v>28</v>
      </c>
      <c r="E99" s="52" t="s">
        <v>3</v>
      </c>
      <c r="F99" s="54">
        <v>467</v>
      </c>
      <c r="G99" s="54">
        <v>233</v>
      </c>
      <c r="H99" s="54">
        <v>13</v>
      </c>
      <c r="I99" s="54">
        <v>29</v>
      </c>
      <c r="J99" s="54">
        <v>3</v>
      </c>
    </row>
    <row r="100" spans="1:17" x14ac:dyDescent="0.35">
      <c r="A100" s="7" t="s">
        <v>345</v>
      </c>
      <c r="B100" s="7" t="s">
        <v>346</v>
      </c>
      <c r="C100" s="65">
        <v>3328</v>
      </c>
      <c r="D100" s="52" t="s">
        <v>28</v>
      </c>
      <c r="E100" s="52" t="s">
        <v>4</v>
      </c>
      <c r="F100" s="54">
        <v>99</v>
      </c>
      <c r="G100" s="54">
        <v>34</v>
      </c>
      <c r="H100" s="54">
        <v>5</v>
      </c>
      <c r="I100" s="54">
        <v>4</v>
      </c>
      <c r="J100" s="55">
        <v>0</v>
      </c>
    </row>
    <row r="101" spans="1:17" x14ac:dyDescent="0.35">
      <c r="A101" s="8"/>
      <c r="B101" s="8"/>
      <c r="C101" s="66"/>
      <c r="D101" s="52" t="s">
        <v>28</v>
      </c>
      <c r="E101" s="52" t="s">
        <v>5</v>
      </c>
      <c r="F101" s="54">
        <v>374</v>
      </c>
      <c r="G101" s="54">
        <v>120</v>
      </c>
      <c r="H101" s="54">
        <v>11</v>
      </c>
      <c r="I101" s="54">
        <v>17</v>
      </c>
      <c r="J101" s="54">
        <v>1</v>
      </c>
    </row>
    <row r="102" spans="1:17" x14ac:dyDescent="0.35">
      <c r="A102" s="8"/>
      <c r="B102" s="8"/>
      <c r="C102" s="66"/>
      <c r="D102" s="52" t="s">
        <v>28</v>
      </c>
      <c r="E102" s="52" t="s">
        <v>6</v>
      </c>
      <c r="F102" s="54">
        <v>115</v>
      </c>
      <c r="G102" s="54">
        <v>46</v>
      </c>
      <c r="H102" s="54">
        <v>8</v>
      </c>
      <c r="I102" s="54">
        <v>7</v>
      </c>
      <c r="J102" s="55">
        <v>1</v>
      </c>
    </row>
    <row r="103" spans="1:17" x14ac:dyDescent="0.35">
      <c r="A103" s="8"/>
      <c r="B103" s="8"/>
      <c r="C103" s="66"/>
      <c r="D103" s="52" t="s">
        <v>28</v>
      </c>
      <c r="E103" s="52" t="s">
        <v>7</v>
      </c>
      <c r="F103" s="54">
        <v>344</v>
      </c>
      <c r="G103" s="54">
        <v>125</v>
      </c>
      <c r="H103" s="54">
        <v>15</v>
      </c>
      <c r="I103" s="54">
        <v>15</v>
      </c>
      <c r="J103" s="55">
        <v>0</v>
      </c>
      <c r="K103" s="2">
        <f>SUM(F100:F103)</f>
        <v>932</v>
      </c>
      <c r="L103" s="2">
        <f t="shared" ref="L103:O103" si="14">SUM(G100:G103)</f>
        <v>325</v>
      </c>
      <c r="M103" s="2">
        <f t="shared" si="14"/>
        <v>39</v>
      </c>
      <c r="N103" s="2">
        <f t="shared" si="14"/>
        <v>43</v>
      </c>
      <c r="O103" s="2">
        <f t="shared" si="14"/>
        <v>2</v>
      </c>
    </row>
    <row r="104" spans="1:17" x14ac:dyDescent="0.35">
      <c r="A104" s="67" t="s">
        <v>278</v>
      </c>
      <c r="B104" s="67" t="s">
        <v>279</v>
      </c>
      <c r="C104" s="68">
        <v>4073</v>
      </c>
      <c r="D104" s="52" t="s">
        <v>29</v>
      </c>
      <c r="E104" s="52" t="s">
        <v>17</v>
      </c>
      <c r="F104" s="56">
        <v>70</v>
      </c>
      <c r="G104" s="56">
        <v>8</v>
      </c>
      <c r="H104" s="57">
        <v>0</v>
      </c>
      <c r="I104" s="56">
        <v>3</v>
      </c>
      <c r="J104" s="57">
        <v>0</v>
      </c>
    </row>
    <row r="105" spans="1:17" x14ac:dyDescent="0.35">
      <c r="A105" s="69"/>
      <c r="B105" s="69"/>
      <c r="C105" s="70"/>
      <c r="D105" s="52" t="s">
        <v>29</v>
      </c>
      <c r="E105" s="52" t="s">
        <v>2</v>
      </c>
      <c r="F105" s="56">
        <v>195</v>
      </c>
      <c r="G105" s="56">
        <v>46</v>
      </c>
      <c r="H105" s="56">
        <v>5</v>
      </c>
      <c r="I105" s="56">
        <v>4</v>
      </c>
      <c r="J105" s="57">
        <v>1</v>
      </c>
    </row>
    <row r="106" spans="1:17" x14ac:dyDescent="0.35">
      <c r="A106" s="69"/>
      <c r="B106" s="69"/>
      <c r="C106" s="70"/>
      <c r="D106" s="52" t="s">
        <v>29</v>
      </c>
      <c r="E106" s="52" t="s">
        <v>3</v>
      </c>
      <c r="F106" s="56">
        <v>215</v>
      </c>
      <c r="G106" s="56">
        <v>35</v>
      </c>
      <c r="H106" s="56">
        <v>0</v>
      </c>
      <c r="I106" s="56">
        <v>4</v>
      </c>
      <c r="J106" s="57">
        <v>0</v>
      </c>
    </row>
    <row r="107" spans="1:17" x14ac:dyDescent="0.35">
      <c r="A107" s="69"/>
      <c r="B107" s="69"/>
      <c r="C107" s="70"/>
      <c r="D107" s="52" t="s">
        <v>29</v>
      </c>
      <c r="E107" s="52" t="s">
        <v>4</v>
      </c>
      <c r="F107" s="56">
        <v>185</v>
      </c>
      <c r="G107" s="56">
        <v>39</v>
      </c>
      <c r="H107" s="56">
        <v>7</v>
      </c>
      <c r="I107" s="56">
        <v>2</v>
      </c>
      <c r="J107" s="57">
        <v>0</v>
      </c>
    </row>
    <row r="108" spans="1:17" x14ac:dyDescent="0.35">
      <c r="A108" s="69"/>
      <c r="B108" s="69"/>
      <c r="C108" s="70"/>
      <c r="D108" s="52" t="s">
        <v>29</v>
      </c>
      <c r="E108" s="52" t="s">
        <v>5</v>
      </c>
      <c r="F108" s="56">
        <v>195</v>
      </c>
      <c r="G108" s="56">
        <v>81</v>
      </c>
      <c r="H108" s="56">
        <v>16</v>
      </c>
      <c r="I108" s="56">
        <v>10</v>
      </c>
      <c r="J108" s="56">
        <v>6</v>
      </c>
    </row>
    <row r="109" spans="1:17" x14ac:dyDescent="0.35">
      <c r="A109" s="69"/>
      <c r="B109" s="69"/>
      <c r="C109" s="70"/>
      <c r="D109" s="52" t="s">
        <v>29</v>
      </c>
      <c r="E109" s="52" t="s">
        <v>6</v>
      </c>
      <c r="F109" s="56">
        <v>217</v>
      </c>
      <c r="G109" s="56">
        <v>59</v>
      </c>
      <c r="H109" s="57">
        <v>1</v>
      </c>
      <c r="I109" s="56">
        <v>9</v>
      </c>
      <c r="J109" s="56">
        <v>5</v>
      </c>
      <c r="K109" s="2">
        <f>SUM(F104:F109)</f>
        <v>1077</v>
      </c>
      <c r="L109" s="2">
        <f t="shared" ref="L109:O109" si="15">SUM(G104:G109)</f>
        <v>268</v>
      </c>
      <c r="M109" s="2">
        <f t="shared" si="15"/>
        <v>29</v>
      </c>
      <c r="N109" s="2">
        <f t="shared" si="15"/>
        <v>32</v>
      </c>
      <c r="O109" s="2">
        <f t="shared" si="15"/>
        <v>12</v>
      </c>
      <c r="P109" s="2">
        <f>SUM(K109:O109)</f>
        <v>1418</v>
      </c>
      <c r="Q109" s="168">
        <f>+P109+C104</f>
        <v>5491</v>
      </c>
    </row>
    <row r="110" spans="1:17" x14ac:dyDescent="0.35">
      <c r="A110" s="7" t="s">
        <v>280</v>
      </c>
      <c r="B110" s="7" t="s">
        <v>281</v>
      </c>
      <c r="C110" s="65">
        <v>3743</v>
      </c>
      <c r="D110" s="52" t="s">
        <v>30</v>
      </c>
      <c r="E110" s="52" t="s">
        <v>17</v>
      </c>
      <c r="F110" s="54">
        <v>108</v>
      </c>
      <c r="G110" s="54">
        <v>33</v>
      </c>
      <c r="H110" s="54">
        <v>6</v>
      </c>
      <c r="I110" s="54">
        <v>5</v>
      </c>
      <c r="J110" s="55">
        <v>0</v>
      </c>
    </row>
    <row r="111" spans="1:17" x14ac:dyDescent="0.35">
      <c r="A111" s="8"/>
      <c r="B111" s="8"/>
      <c r="C111" s="66"/>
      <c r="D111" s="52" t="s">
        <v>30</v>
      </c>
      <c r="E111" s="52" t="s">
        <v>2</v>
      </c>
      <c r="F111" s="54">
        <v>102</v>
      </c>
      <c r="G111" s="54">
        <v>34</v>
      </c>
      <c r="H111" s="54">
        <v>1</v>
      </c>
      <c r="I111" s="54">
        <v>7</v>
      </c>
      <c r="J111" s="55">
        <v>1</v>
      </c>
    </row>
    <row r="112" spans="1:17" x14ac:dyDescent="0.35">
      <c r="A112" s="8"/>
      <c r="B112" s="8"/>
      <c r="C112" s="66"/>
      <c r="D112" s="52" t="s">
        <v>30</v>
      </c>
      <c r="E112" s="52" t="s">
        <v>3</v>
      </c>
      <c r="F112" s="54">
        <v>147</v>
      </c>
      <c r="G112" s="54">
        <v>47</v>
      </c>
      <c r="H112" s="54">
        <v>7</v>
      </c>
      <c r="I112" s="54">
        <v>11</v>
      </c>
      <c r="J112" s="55">
        <v>2</v>
      </c>
    </row>
    <row r="113" spans="1:17" x14ac:dyDescent="0.35">
      <c r="A113" s="8"/>
      <c r="B113" s="8"/>
      <c r="C113" s="66"/>
      <c r="D113" s="52" t="s">
        <v>30</v>
      </c>
      <c r="E113" s="52" t="s">
        <v>4</v>
      </c>
      <c r="F113" s="54">
        <v>109</v>
      </c>
      <c r="G113" s="54">
        <v>41</v>
      </c>
      <c r="H113" s="54">
        <v>3</v>
      </c>
      <c r="I113" s="54">
        <v>3</v>
      </c>
      <c r="J113" s="55">
        <v>0</v>
      </c>
    </row>
    <row r="114" spans="1:17" x14ac:dyDescent="0.35">
      <c r="A114" s="8"/>
      <c r="B114" s="8"/>
      <c r="C114" s="66"/>
      <c r="D114" s="52" t="s">
        <v>30</v>
      </c>
      <c r="E114" s="52" t="s">
        <v>5</v>
      </c>
      <c r="F114" s="54">
        <v>79</v>
      </c>
      <c r="G114" s="54">
        <v>47</v>
      </c>
      <c r="H114" s="54">
        <v>3</v>
      </c>
      <c r="I114" s="54">
        <v>9</v>
      </c>
      <c r="J114" s="55">
        <v>0</v>
      </c>
    </row>
    <row r="115" spans="1:17" x14ac:dyDescent="0.35">
      <c r="A115" s="8"/>
      <c r="B115" s="8"/>
      <c r="C115" s="66"/>
      <c r="D115" s="52" t="s">
        <v>30</v>
      </c>
      <c r="E115" s="52" t="s">
        <v>6</v>
      </c>
      <c r="F115" s="54">
        <v>71</v>
      </c>
      <c r="G115" s="54">
        <v>15</v>
      </c>
      <c r="H115" s="54">
        <v>5</v>
      </c>
      <c r="I115" s="54">
        <v>5</v>
      </c>
      <c r="J115" s="55">
        <v>0</v>
      </c>
    </row>
    <row r="116" spans="1:17" x14ac:dyDescent="0.35">
      <c r="A116" s="8"/>
      <c r="B116" s="8"/>
      <c r="C116" s="66"/>
      <c r="D116" s="52" t="s">
        <v>30</v>
      </c>
      <c r="E116" s="52" t="s">
        <v>7</v>
      </c>
      <c r="F116" s="54">
        <v>248</v>
      </c>
      <c r="G116" s="54">
        <v>35</v>
      </c>
      <c r="H116" s="55">
        <v>0</v>
      </c>
      <c r="I116" s="54">
        <v>9</v>
      </c>
      <c r="J116" s="54">
        <v>1</v>
      </c>
    </row>
    <row r="117" spans="1:17" x14ac:dyDescent="0.35">
      <c r="A117" s="8"/>
      <c r="B117" s="8"/>
      <c r="C117" s="66"/>
      <c r="D117" s="52" t="s">
        <v>30</v>
      </c>
      <c r="E117" s="52" t="s">
        <v>8</v>
      </c>
      <c r="F117" s="54">
        <v>209</v>
      </c>
      <c r="G117" s="54">
        <v>41</v>
      </c>
      <c r="H117" s="54">
        <v>1</v>
      </c>
      <c r="I117" s="54">
        <v>3</v>
      </c>
      <c r="J117" s="55">
        <v>4</v>
      </c>
    </row>
    <row r="118" spans="1:17" x14ac:dyDescent="0.35">
      <c r="A118" s="8"/>
      <c r="B118" s="8"/>
      <c r="C118" s="66"/>
      <c r="D118" s="52" t="s">
        <v>30</v>
      </c>
      <c r="E118" s="52" t="s">
        <v>9</v>
      </c>
      <c r="F118" s="54">
        <v>84</v>
      </c>
      <c r="G118" s="54">
        <v>22</v>
      </c>
      <c r="H118" s="55">
        <v>0</v>
      </c>
      <c r="I118" s="54">
        <v>1</v>
      </c>
      <c r="J118" s="55">
        <v>2</v>
      </c>
      <c r="K118" s="2">
        <f>SUM(F110:F118)</f>
        <v>1157</v>
      </c>
      <c r="L118" s="2">
        <f t="shared" ref="L118:O118" si="16">SUM(G110:G118)</f>
        <v>315</v>
      </c>
      <c r="M118" s="2">
        <f t="shared" si="16"/>
        <v>26</v>
      </c>
      <c r="N118" s="2">
        <f t="shared" si="16"/>
        <v>53</v>
      </c>
      <c r="O118" s="2">
        <f t="shared" si="16"/>
        <v>10</v>
      </c>
      <c r="P118" s="2">
        <f>SUM(K118:O118)</f>
        <v>1561</v>
      </c>
      <c r="Q118" s="168">
        <f>+P118+C110</f>
        <v>5304</v>
      </c>
    </row>
    <row r="119" spans="1:17" x14ac:dyDescent="0.35">
      <c r="A119" s="67" t="s">
        <v>282</v>
      </c>
      <c r="B119" s="67" t="s">
        <v>283</v>
      </c>
      <c r="C119" s="68">
        <v>3106</v>
      </c>
      <c r="D119" s="52" t="s">
        <v>31</v>
      </c>
      <c r="E119" s="52" t="s">
        <v>17</v>
      </c>
      <c r="F119" s="56">
        <v>181</v>
      </c>
      <c r="G119" s="56">
        <v>122</v>
      </c>
      <c r="H119" s="56">
        <v>20</v>
      </c>
      <c r="I119" s="56">
        <v>14</v>
      </c>
      <c r="J119" s="57">
        <v>3</v>
      </c>
    </row>
    <row r="120" spans="1:17" x14ac:dyDescent="0.35">
      <c r="A120" s="69"/>
      <c r="B120" s="69"/>
      <c r="C120" s="70"/>
      <c r="D120" s="52" t="s">
        <v>31</v>
      </c>
      <c r="E120" s="52" t="s">
        <v>2</v>
      </c>
      <c r="F120" s="56">
        <v>582</v>
      </c>
      <c r="G120" s="56">
        <v>366</v>
      </c>
      <c r="H120" s="56">
        <v>23</v>
      </c>
      <c r="I120" s="56">
        <v>54</v>
      </c>
      <c r="J120" s="56">
        <v>5</v>
      </c>
    </row>
    <row r="121" spans="1:17" x14ac:dyDescent="0.35">
      <c r="A121" s="69"/>
      <c r="B121" s="69"/>
      <c r="C121" s="70"/>
      <c r="D121" s="52" t="s">
        <v>31</v>
      </c>
      <c r="E121" s="52" t="s">
        <v>3</v>
      </c>
      <c r="F121" s="56">
        <v>116</v>
      </c>
      <c r="G121" s="56">
        <v>50</v>
      </c>
      <c r="H121" s="56">
        <v>2</v>
      </c>
      <c r="I121" s="56">
        <v>9</v>
      </c>
      <c r="J121" s="57">
        <v>1</v>
      </c>
    </row>
    <row r="122" spans="1:17" x14ac:dyDescent="0.35">
      <c r="A122" s="69"/>
      <c r="B122" s="69"/>
      <c r="C122" s="70"/>
      <c r="D122" s="52" t="s">
        <v>31</v>
      </c>
      <c r="E122" s="52" t="s">
        <v>4</v>
      </c>
      <c r="F122" s="56">
        <v>143</v>
      </c>
      <c r="G122" s="56">
        <v>70</v>
      </c>
      <c r="H122" s="56">
        <v>3</v>
      </c>
      <c r="I122" s="56">
        <v>6</v>
      </c>
      <c r="J122" s="57">
        <v>0</v>
      </c>
    </row>
    <row r="123" spans="1:17" x14ac:dyDescent="0.35">
      <c r="A123" s="69"/>
      <c r="B123" s="69"/>
      <c r="C123" s="70"/>
      <c r="D123" s="52" t="s">
        <v>31</v>
      </c>
      <c r="E123" s="52" t="s">
        <v>5</v>
      </c>
      <c r="F123" s="56">
        <v>192</v>
      </c>
      <c r="G123" s="56">
        <v>58</v>
      </c>
      <c r="H123" s="56">
        <v>6</v>
      </c>
      <c r="I123" s="56">
        <v>6</v>
      </c>
      <c r="J123" s="57">
        <v>0</v>
      </c>
    </row>
    <row r="124" spans="1:17" x14ac:dyDescent="0.35">
      <c r="A124" s="69"/>
      <c r="B124" s="69"/>
      <c r="C124" s="70"/>
      <c r="D124" s="52" t="s">
        <v>31</v>
      </c>
      <c r="E124" s="52" t="s">
        <v>6</v>
      </c>
      <c r="F124" s="56">
        <v>90</v>
      </c>
      <c r="G124" s="56">
        <v>12</v>
      </c>
      <c r="H124" s="57">
        <v>0</v>
      </c>
      <c r="I124" s="56">
        <v>2</v>
      </c>
      <c r="J124" s="57">
        <v>0</v>
      </c>
    </row>
    <row r="125" spans="1:17" x14ac:dyDescent="0.35">
      <c r="A125" s="69"/>
      <c r="B125" s="69"/>
      <c r="C125" s="70"/>
      <c r="D125" s="52" t="s">
        <v>31</v>
      </c>
      <c r="E125" s="52" t="s">
        <v>7</v>
      </c>
      <c r="F125" s="56">
        <v>64</v>
      </c>
      <c r="G125" s="56">
        <v>12</v>
      </c>
      <c r="H125" s="56">
        <v>4</v>
      </c>
      <c r="I125" s="56">
        <v>3</v>
      </c>
      <c r="J125" s="57">
        <v>0</v>
      </c>
      <c r="K125" s="2">
        <f>SUM(F119:F125)</f>
        <v>1368</v>
      </c>
      <c r="L125" s="2">
        <f t="shared" ref="L125:O125" si="17">SUM(G119:G125)</f>
        <v>690</v>
      </c>
      <c r="M125" s="2">
        <f t="shared" si="17"/>
        <v>58</v>
      </c>
      <c r="N125" s="2">
        <f t="shared" si="17"/>
        <v>94</v>
      </c>
      <c r="O125" s="2">
        <f t="shared" si="17"/>
        <v>9</v>
      </c>
    </row>
    <row r="126" spans="1:17" x14ac:dyDescent="0.35">
      <c r="A126" s="7" t="s">
        <v>284</v>
      </c>
      <c r="B126" s="7" t="s">
        <v>285</v>
      </c>
      <c r="C126" s="65">
        <v>3834</v>
      </c>
      <c r="D126" s="52" t="s">
        <v>32</v>
      </c>
      <c r="E126" s="52" t="s">
        <v>17</v>
      </c>
      <c r="F126" s="54">
        <v>110</v>
      </c>
      <c r="G126" s="54">
        <v>39</v>
      </c>
      <c r="H126" s="55">
        <v>0</v>
      </c>
      <c r="I126" s="54">
        <v>2</v>
      </c>
      <c r="J126" s="55">
        <v>2</v>
      </c>
    </row>
    <row r="127" spans="1:17" x14ac:dyDescent="0.35">
      <c r="A127" s="8"/>
      <c r="B127" s="8"/>
      <c r="C127" s="66"/>
      <c r="D127" s="52" t="s">
        <v>32</v>
      </c>
      <c r="E127" s="52" t="s">
        <v>2</v>
      </c>
      <c r="F127" s="54">
        <v>192</v>
      </c>
      <c r="G127" s="54">
        <v>47</v>
      </c>
      <c r="H127" s="54">
        <v>4</v>
      </c>
      <c r="I127" s="54">
        <v>6</v>
      </c>
      <c r="J127" s="55">
        <v>0</v>
      </c>
    </row>
    <row r="128" spans="1:17" x14ac:dyDescent="0.35">
      <c r="A128" s="8"/>
      <c r="B128" s="8"/>
      <c r="C128" s="66"/>
      <c r="D128" s="52" t="s">
        <v>32</v>
      </c>
      <c r="E128" s="52" t="s">
        <v>3</v>
      </c>
      <c r="F128" s="54">
        <v>1029</v>
      </c>
      <c r="G128" s="54">
        <v>738</v>
      </c>
      <c r="H128" s="54">
        <v>80</v>
      </c>
      <c r="I128" s="54">
        <v>67</v>
      </c>
      <c r="J128" s="54">
        <v>7</v>
      </c>
    </row>
    <row r="129" spans="1:15" x14ac:dyDescent="0.35">
      <c r="A129" s="8"/>
      <c r="B129" s="8"/>
      <c r="C129" s="66"/>
      <c r="D129" s="52" t="s">
        <v>32</v>
      </c>
      <c r="E129" s="52" t="s">
        <v>4</v>
      </c>
      <c r="F129" s="54">
        <v>182</v>
      </c>
      <c r="G129" s="54">
        <v>61</v>
      </c>
      <c r="H129" s="54">
        <v>9</v>
      </c>
      <c r="I129" s="54">
        <v>14</v>
      </c>
      <c r="J129" s="55">
        <v>0</v>
      </c>
    </row>
    <row r="130" spans="1:15" x14ac:dyDescent="0.35">
      <c r="A130" s="8"/>
      <c r="B130" s="8"/>
      <c r="C130" s="66"/>
      <c r="D130" s="52" t="s">
        <v>32</v>
      </c>
      <c r="E130" s="52" t="s">
        <v>5</v>
      </c>
      <c r="F130" s="54">
        <v>44</v>
      </c>
      <c r="G130" s="54">
        <v>21</v>
      </c>
      <c r="H130" s="55">
        <v>0</v>
      </c>
      <c r="I130" s="54">
        <v>1</v>
      </c>
      <c r="J130" s="55">
        <v>0</v>
      </c>
    </row>
    <row r="131" spans="1:15" x14ac:dyDescent="0.35">
      <c r="A131" s="8"/>
      <c r="B131" s="8"/>
      <c r="C131" s="66"/>
      <c r="D131" s="52" t="s">
        <v>32</v>
      </c>
      <c r="E131" s="52" t="s">
        <v>6</v>
      </c>
      <c r="F131" s="54">
        <v>100</v>
      </c>
      <c r="G131" s="54">
        <v>33</v>
      </c>
      <c r="H131" s="54">
        <v>6</v>
      </c>
      <c r="I131" s="54">
        <v>5</v>
      </c>
      <c r="J131" s="54">
        <v>2</v>
      </c>
    </row>
    <row r="132" spans="1:15" x14ac:dyDescent="0.35">
      <c r="A132" s="8"/>
      <c r="B132" s="8"/>
      <c r="C132" s="66"/>
      <c r="D132" s="52" t="s">
        <v>32</v>
      </c>
      <c r="E132" s="52" t="s">
        <v>7</v>
      </c>
      <c r="F132" s="54">
        <v>296</v>
      </c>
      <c r="G132" s="54">
        <v>169</v>
      </c>
      <c r="H132" s="54">
        <v>29</v>
      </c>
      <c r="I132" s="54">
        <v>22</v>
      </c>
      <c r="J132" s="54">
        <v>3</v>
      </c>
      <c r="K132" s="2">
        <f>SUM(F126:F132)</f>
        <v>1953</v>
      </c>
      <c r="L132" s="2">
        <f t="shared" ref="L132:O132" si="18">SUM(G126:G132)</f>
        <v>1108</v>
      </c>
      <c r="M132" s="2">
        <f t="shared" si="18"/>
        <v>128</v>
      </c>
      <c r="N132" s="2">
        <f t="shared" si="18"/>
        <v>117</v>
      </c>
      <c r="O132" s="2">
        <f t="shared" si="18"/>
        <v>14</v>
      </c>
    </row>
    <row r="133" spans="1:15" x14ac:dyDescent="0.35">
      <c r="A133" s="67" t="s">
        <v>286</v>
      </c>
      <c r="B133" s="67" t="s">
        <v>287</v>
      </c>
      <c r="C133" s="68">
        <v>2613</v>
      </c>
      <c r="D133" s="52" t="s">
        <v>33</v>
      </c>
      <c r="E133" s="52" t="s">
        <v>17</v>
      </c>
      <c r="F133" s="56">
        <v>221</v>
      </c>
      <c r="G133" s="56">
        <v>68</v>
      </c>
      <c r="H133" s="56">
        <v>12</v>
      </c>
      <c r="I133" s="56">
        <v>8</v>
      </c>
      <c r="J133" s="57">
        <v>0</v>
      </c>
    </row>
    <row r="134" spans="1:15" x14ac:dyDescent="0.35">
      <c r="A134" s="69"/>
      <c r="B134" s="69"/>
      <c r="C134" s="70"/>
      <c r="D134" s="52" t="s">
        <v>33</v>
      </c>
      <c r="E134" s="52" t="s">
        <v>2</v>
      </c>
      <c r="F134" s="56">
        <v>367</v>
      </c>
      <c r="G134" s="56">
        <v>137</v>
      </c>
      <c r="H134" s="56">
        <v>25</v>
      </c>
      <c r="I134" s="56">
        <v>15</v>
      </c>
      <c r="J134" s="56">
        <v>5</v>
      </c>
    </row>
    <row r="135" spans="1:15" x14ac:dyDescent="0.35">
      <c r="A135" s="69"/>
      <c r="B135" s="69"/>
      <c r="C135" s="70"/>
      <c r="D135" s="52" t="s">
        <v>33</v>
      </c>
      <c r="E135" s="52" t="s">
        <v>3</v>
      </c>
      <c r="F135" s="56">
        <v>158</v>
      </c>
      <c r="G135" s="56">
        <v>86</v>
      </c>
      <c r="H135" s="56">
        <v>10</v>
      </c>
      <c r="I135" s="56">
        <v>13</v>
      </c>
      <c r="J135" s="57">
        <v>0</v>
      </c>
    </row>
    <row r="136" spans="1:15" x14ac:dyDescent="0.35">
      <c r="A136" s="69"/>
      <c r="B136" s="69"/>
      <c r="C136" s="70"/>
      <c r="D136" s="52" t="s">
        <v>33</v>
      </c>
      <c r="E136" s="52" t="s">
        <v>4</v>
      </c>
      <c r="F136" s="56">
        <v>72</v>
      </c>
      <c r="G136" s="56">
        <v>25</v>
      </c>
      <c r="H136" s="57">
        <v>0</v>
      </c>
      <c r="I136" s="56">
        <v>4</v>
      </c>
      <c r="J136" s="57">
        <v>0</v>
      </c>
    </row>
    <row r="137" spans="1:15" x14ac:dyDescent="0.35">
      <c r="A137" s="69"/>
      <c r="B137" s="69"/>
      <c r="C137" s="70"/>
      <c r="D137" s="52" t="s">
        <v>33</v>
      </c>
      <c r="E137" s="52" t="s">
        <v>5</v>
      </c>
      <c r="F137" s="56">
        <v>79</v>
      </c>
      <c r="G137" s="56">
        <v>37</v>
      </c>
      <c r="H137" s="56">
        <v>7</v>
      </c>
      <c r="I137" s="56">
        <v>7</v>
      </c>
      <c r="J137" s="57">
        <v>2</v>
      </c>
    </row>
    <row r="138" spans="1:15" x14ac:dyDescent="0.35">
      <c r="A138" s="69"/>
      <c r="B138" s="69"/>
      <c r="C138" s="70"/>
      <c r="D138" s="52" t="s">
        <v>33</v>
      </c>
      <c r="E138" s="52" t="s">
        <v>6</v>
      </c>
      <c r="F138" s="56">
        <v>100</v>
      </c>
      <c r="G138" s="56">
        <v>37</v>
      </c>
      <c r="H138" s="56">
        <v>7</v>
      </c>
      <c r="I138" s="56">
        <v>6</v>
      </c>
      <c r="J138" s="57">
        <v>1</v>
      </c>
      <c r="K138" s="2">
        <f>SUM(F133:F138)</f>
        <v>997</v>
      </c>
      <c r="L138" s="2">
        <f t="shared" ref="L138:O138" si="19">SUM(G133:G138)</f>
        <v>390</v>
      </c>
      <c r="M138" s="2">
        <f t="shared" si="19"/>
        <v>61</v>
      </c>
      <c r="N138" s="2">
        <f t="shared" si="19"/>
        <v>53</v>
      </c>
      <c r="O138" s="2">
        <f t="shared" si="19"/>
        <v>8</v>
      </c>
    </row>
    <row r="139" spans="1:15" x14ac:dyDescent="0.35">
      <c r="A139" s="7" t="s">
        <v>288</v>
      </c>
      <c r="B139" s="7" t="s">
        <v>289</v>
      </c>
      <c r="C139" s="65">
        <v>1466</v>
      </c>
      <c r="D139" s="52" t="s">
        <v>34</v>
      </c>
      <c r="E139" s="52" t="s">
        <v>17</v>
      </c>
      <c r="F139" s="54">
        <v>103</v>
      </c>
      <c r="G139" s="54">
        <v>16</v>
      </c>
      <c r="H139" s="54">
        <v>2</v>
      </c>
      <c r="I139" s="54">
        <v>3</v>
      </c>
      <c r="J139" s="55">
        <v>0</v>
      </c>
    </row>
    <row r="140" spans="1:15" x14ac:dyDescent="0.35">
      <c r="A140" s="8"/>
      <c r="B140" s="8"/>
      <c r="C140" s="66"/>
      <c r="D140" s="52" t="s">
        <v>34</v>
      </c>
      <c r="E140" s="52" t="s">
        <v>2</v>
      </c>
      <c r="F140" s="54">
        <v>33</v>
      </c>
      <c r="G140" s="54">
        <v>23</v>
      </c>
      <c r="H140" s="55">
        <v>0</v>
      </c>
      <c r="I140" s="54">
        <v>2</v>
      </c>
      <c r="J140" s="55">
        <v>0</v>
      </c>
    </row>
    <row r="141" spans="1:15" x14ac:dyDescent="0.35">
      <c r="A141" s="8"/>
      <c r="B141" s="8"/>
      <c r="C141" s="66"/>
      <c r="D141" s="52" t="s">
        <v>34</v>
      </c>
      <c r="E141" s="52" t="s">
        <v>3</v>
      </c>
      <c r="F141" s="54">
        <v>84</v>
      </c>
      <c r="G141" s="54">
        <v>14</v>
      </c>
      <c r="H141" s="54">
        <v>2</v>
      </c>
      <c r="I141" s="54">
        <v>2</v>
      </c>
      <c r="J141" s="54">
        <v>3</v>
      </c>
    </row>
    <row r="142" spans="1:15" x14ac:dyDescent="0.35">
      <c r="A142" s="8"/>
      <c r="B142" s="8"/>
      <c r="C142" s="66"/>
      <c r="D142" s="52" t="s">
        <v>34</v>
      </c>
      <c r="E142" s="52" t="s">
        <v>4</v>
      </c>
      <c r="F142" s="54">
        <v>67</v>
      </c>
      <c r="G142" s="54">
        <v>22</v>
      </c>
      <c r="H142" s="54">
        <v>6</v>
      </c>
      <c r="I142" s="54">
        <v>1</v>
      </c>
      <c r="J142" s="55">
        <v>2</v>
      </c>
    </row>
    <row r="143" spans="1:15" x14ac:dyDescent="0.35">
      <c r="A143" s="8"/>
      <c r="B143" s="8"/>
      <c r="C143" s="66"/>
      <c r="D143" s="52" t="s">
        <v>34</v>
      </c>
      <c r="E143" s="52" t="s">
        <v>5</v>
      </c>
      <c r="F143" s="54">
        <v>170</v>
      </c>
      <c r="G143" s="54">
        <v>70</v>
      </c>
      <c r="H143" s="54">
        <v>8</v>
      </c>
      <c r="I143" s="54">
        <v>11</v>
      </c>
      <c r="J143" s="55">
        <v>0</v>
      </c>
    </row>
    <row r="144" spans="1:15" x14ac:dyDescent="0.35">
      <c r="A144" s="8"/>
      <c r="B144" s="8"/>
      <c r="C144" s="66"/>
      <c r="D144" s="52" t="s">
        <v>34</v>
      </c>
      <c r="E144" s="52" t="s">
        <v>6</v>
      </c>
      <c r="F144" s="54">
        <v>163</v>
      </c>
      <c r="G144" s="54">
        <v>50</v>
      </c>
      <c r="H144" s="54">
        <v>7</v>
      </c>
      <c r="I144" s="54">
        <v>5</v>
      </c>
      <c r="J144" s="55">
        <v>2</v>
      </c>
    </row>
    <row r="145" spans="1:15" x14ac:dyDescent="0.35">
      <c r="A145" s="8"/>
      <c r="B145" s="8"/>
      <c r="C145" s="66"/>
      <c r="D145" s="52" t="s">
        <v>34</v>
      </c>
      <c r="E145" s="52" t="s">
        <v>7</v>
      </c>
      <c r="F145" s="54">
        <v>202</v>
      </c>
      <c r="G145" s="54">
        <v>33</v>
      </c>
      <c r="H145" s="55">
        <v>0</v>
      </c>
      <c r="I145" s="54">
        <v>8</v>
      </c>
      <c r="J145" s="55">
        <v>1</v>
      </c>
      <c r="K145" s="2">
        <f>SUM(F139:F145)</f>
        <v>822</v>
      </c>
      <c r="L145" s="2">
        <f t="shared" ref="L145:O145" si="20">SUM(G139:G145)</f>
        <v>228</v>
      </c>
      <c r="M145" s="2">
        <f t="shared" si="20"/>
        <v>25</v>
      </c>
      <c r="N145" s="2">
        <f t="shared" si="20"/>
        <v>32</v>
      </c>
      <c r="O145" s="2">
        <f t="shared" si="20"/>
        <v>8</v>
      </c>
    </row>
    <row r="146" spans="1:15" x14ac:dyDescent="0.35">
      <c r="A146" s="67" t="s">
        <v>290</v>
      </c>
      <c r="B146" s="67" t="s">
        <v>291</v>
      </c>
      <c r="C146" s="68">
        <v>4101</v>
      </c>
      <c r="D146" s="52" t="s">
        <v>35</v>
      </c>
      <c r="E146" s="52" t="s">
        <v>17</v>
      </c>
      <c r="F146" s="56">
        <v>112</v>
      </c>
      <c r="G146" s="56">
        <v>39</v>
      </c>
      <c r="H146" s="56">
        <v>8</v>
      </c>
      <c r="I146" s="56">
        <v>6</v>
      </c>
      <c r="J146" s="57">
        <v>2</v>
      </c>
    </row>
    <row r="147" spans="1:15" x14ac:dyDescent="0.35">
      <c r="A147" s="69"/>
      <c r="B147" s="69"/>
      <c r="C147" s="70"/>
      <c r="D147" s="52" t="s">
        <v>35</v>
      </c>
      <c r="E147" s="52" t="s">
        <v>2</v>
      </c>
      <c r="F147" s="56">
        <v>92</v>
      </c>
      <c r="G147" s="56">
        <v>43</v>
      </c>
      <c r="H147" s="56">
        <v>7</v>
      </c>
      <c r="I147" s="56">
        <v>5</v>
      </c>
      <c r="J147" s="57">
        <v>1</v>
      </c>
    </row>
    <row r="148" spans="1:15" x14ac:dyDescent="0.35">
      <c r="A148" s="69"/>
      <c r="B148" s="69"/>
      <c r="C148" s="70"/>
      <c r="D148" s="52" t="s">
        <v>35</v>
      </c>
      <c r="E148" s="52" t="s">
        <v>3</v>
      </c>
      <c r="F148" s="56">
        <v>90</v>
      </c>
      <c r="G148" s="56">
        <v>51</v>
      </c>
      <c r="H148" s="56">
        <v>6</v>
      </c>
      <c r="I148" s="56">
        <v>3</v>
      </c>
      <c r="J148" s="57">
        <v>0</v>
      </c>
    </row>
    <row r="149" spans="1:15" x14ac:dyDescent="0.35">
      <c r="A149" s="69"/>
      <c r="B149" s="69"/>
      <c r="C149" s="70"/>
      <c r="D149" s="52" t="s">
        <v>35</v>
      </c>
      <c r="E149" s="52" t="s">
        <v>4</v>
      </c>
      <c r="F149" s="56">
        <v>277</v>
      </c>
      <c r="G149" s="56">
        <v>110</v>
      </c>
      <c r="H149" s="56">
        <v>13</v>
      </c>
      <c r="I149" s="56">
        <v>12</v>
      </c>
      <c r="J149" s="57">
        <v>4</v>
      </c>
    </row>
    <row r="150" spans="1:15" x14ac:dyDescent="0.35">
      <c r="A150" s="69"/>
      <c r="B150" s="69"/>
      <c r="C150" s="70"/>
      <c r="D150" s="52" t="s">
        <v>35</v>
      </c>
      <c r="E150" s="52" t="s">
        <v>5</v>
      </c>
      <c r="F150" s="56">
        <v>182</v>
      </c>
      <c r="G150" s="56">
        <v>34</v>
      </c>
      <c r="H150" s="56">
        <v>1</v>
      </c>
      <c r="I150" s="56">
        <v>3</v>
      </c>
      <c r="J150" s="57">
        <v>0</v>
      </c>
    </row>
    <row r="151" spans="1:15" x14ac:dyDescent="0.35">
      <c r="A151" s="69"/>
      <c r="B151" s="69"/>
      <c r="C151" s="70"/>
      <c r="D151" s="52" t="s">
        <v>35</v>
      </c>
      <c r="E151" s="52" t="s">
        <v>6</v>
      </c>
      <c r="F151" s="56">
        <v>154</v>
      </c>
      <c r="G151" s="56">
        <v>63</v>
      </c>
      <c r="H151" s="56">
        <v>4</v>
      </c>
      <c r="I151" s="56">
        <v>8</v>
      </c>
      <c r="J151" s="56">
        <v>3</v>
      </c>
    </row>
    <row r="152" spans="1:15" x14ac:dyDescent="0.35">
      <c r="A152" s="69"/>
      <c r="B152" s="69"/>
      <c r="C152" s="70"/>
      <c r="D152" s="52" t="s">
        <v>35</v>
      </c>
      <c r="E152" s="52" t="s">
        <v>7</v>
      </c>
      <c r="F152" s="56">
        <v>160</v>
      </c>
      <c r="G152" s="56">
        <v>110</v>
      </c>
      <c r="H152" s="56">
        <v>17</v>
      </c>
      <c r="I152" s="56">
        <v>10</v>
      </c>
      <c r="J152" s="57">
        <v>0</v>
      </c>
    </row>
    <row r="153" spans="1:15" x14ac:dyDescent="0.35">
      <c r="A153" s="69"/>
      <c r="B153" s="69"/>
      <c r="C153" s="70"/>
      <c r="D153" s="52" t="s">
        <v>35</v>
      </c>
      <c r="E153" s="52" t="s">
        <v>8</v>
      </c>
      <c r="F153" s="56">
        <v>200</v>
      </c>
      <c r="G153" s="56">
        <v>136</v>
      </c>
      <c r="H153" s="56">
        <v>8</v>
      </c>
      <c r="I153" s="56">
        <v>21</v>
      </c>
      <c r="J153" s="57">
        <v>1</v>
      </c>
    </row>
    <row r="154" spans="1:15" x14ac:dyDescent="0.35">
      <c r="A154" s="69"/>
      <c r="B154" s="69"/>
      <c r="C154" s="70"/>
      <c r="D154" s="52" t="s">
        <v>35</v>
      </c>
      <c r="E154" s="52" t="s">
        <v>9</v>
      </c>
      <c r="F154" s="56">
        <v>176</v>
      </c>
      <c r="G154" s="56">
        <v>76</v>
      </c>
      <c r="H154" s="56">
        <v>7</v>
      </c>
      <c r="I154" s="56">
        <v>11</v>
      </c>
      <c r="J154" s="57">
        <v>2</v>
      </c>
    </row>
    <row r="155" spans="1:15" x14ac:dyDescent="0.35">
      <c r="A155" s="69"/>
      <c r="B155" s="69"/>
      <c r="C155" s="70"/>
      <c r="D155" s="52" t="s">
        <v>35</v>
      </c>
      <c r="E155" s="52" t="s">
        <v>11</v>
      </c>
      <c r="F155" s="56">
        <v>199</v>
      </c>
      <c r="G155" s="56">
        <v>81</v>
      </c>
      <c r="H155" s="56">
        <v>7</v>
      </c>
      <c r="I155" s="56">
        <v>5</v>
      </c>
      <c r="J155" s="56">
        <v>0</v>
      </c>
    </row>
    <row r="156" spans="1:15" x14ac:dyDescent="0.35">
      <c r="A156" s="69"/>
      <c r="B156" s="69"/>
      <c r="C156" s="70"/>
      <c r="D156" s="52" t="s">
        <v>35</v>
      </c>
      <c r="E156" s="52" t="s">
        <v>12</v>
      </c>
      <c r="F156" s="56">
        <v>100</v>
      </c>
      <c r="G156" s="56">
        <v>20</v>
      </c>
      <c r="H156" s="56">
        <v>3</v>
      </c>
      <c r="I156" s="56">
        <v>5</v>
      </c>
      <c r="J156" s="57">
        <v>1</v>
      </c>
      <c r="K156" s="2">
        <f>SUM(F146:F156)</f>
        <v>1742</v>
      </c>
      <c r="L156" s="2">
        <f t="shared" ref="L156:O156" si="21">SUM(G146:G156)</f>
        <v>763</v>
      </c>
      <c r="M156" s="2">
        <f t="shared" si="21"/>
        <v>81</v>
      </c>
      <c r="N156" s="2">
        <f t="shared" si="21"/>
        <v>89</v>
      </c>
      <c r="O156" s="2">
        <f t="shared" si="21"/>
        <v>14</v>
      </c>
    </row>
    <row r="157" spans="1:15" x14ac:dyDescent="0.35">
      <c r="A157" s="7" t="s">
        <v>292</v>
      </c>
      <c r="B157" s="7" t="s">
        <v>293</v>
      </c>
      <c r="C157" s="65">
        <v>837</v>
      </c>
      <c r="D157" s="52" t="s">
        <v>36</v>
      </c>
      <c r="E157" s="52" t="s">
        <v>17</v>
      </c>
      <c r="F157" s="54">
        <v>146</v>
      </c>
      <c r="G157" s="54">
        <v>38</v>
      </c>
      <c r="H157" s="54">
        <v>7</v>
      </c>
      <c r="I157" s="54">
        <v>9</v>
      </c>
      <c r="J157" s="55">
        <v>0</v>
      </c>
    </row>
    <row r="158" spans="1:15" x14ac:dyDescent="0.35">
      <c r="A158" s="8"/>
      <c r="B158" s="8"/>
      <c r="C158" s="66"/>
      <c r="D158" s="52" t="s">
        <v>36</v>
      </c>
      <c r="E158" s="52" t="s">
        <v>2</v>
      </c>
      <c r="F158" s="54">
        <v>83</v>
      </c>
      <c r="G158" s="54">
        <v>16</v>
      </c>
      <c r="H158" s="55">
        <v>0</v>
      </c>
      <c r="I158" s="55">
        <v>0</v>
      </c>
      <c r="J158" s="55">
        <v>0</v>
      </c>
    </row>
    <row r="159" spans="1:15" x14ac:dyDescent="0.35">
      <c r="A159" s="8"/>
      <c r="B159" s="8"/>
      <c r="C159" s="66"/>
      <c r="D159" s="52" t="s">
        <v>36</v>
      </c>
      <c r="E159" s="52" t="s">
        <v>3</v>
      </c>
      <c r="F159" s="54">
        <v>86</v>
      </c>
      <c r="G159" s="54">
        <v>18</v>
      </c>
      <c r="H159" s="54">
        <v>3</v>
      </c>
      <c r="I159" s="54">
        <v>3</v>
      </c>
      <c r="J159" s="55">
        <v>0</v>
      </c>
    </row>
    <row r="160" spans="1:15" x14ac:dyDescent="0.35">
      <c r="A160" s="8"/>
      <c r="B160" s="8"/>
      <c r="C160" s="66"/>
      <c r="D160" s="52" t="s">
        <v>36</v>
      </c>
      <c r="E160" s="52" t="s">
        <v>4</v>
      </c>
      <c r="F160" s="54">
        <v>119</v>
      </c>
      <c r="G160" s="54">
        <v>23</v>
      </c>
      <c r="H160" s="54">
        <v>1</v>
      </c>
      <c r="I160" s="54">
        <v>6</v>
      </c>
      <c r="J160" s="54">
        <v>0</v>
      </c>
      <c r="K160" s="2">
        <f>SUM(F157:F160)</f>
        <v>434</v>
      </c>
      <c r="L160" s="2">
        <f t="shared" ref="L160:O160" si="22">SUM(G157:G160)</f>
        <v>95</v>
      </c>
      <c r="M160" s="2">
        <f t="shared" si="22"/>
        <v>11</v>
      </c>
      <c r="N160" s="2">
        <f t="shared" si="22"/>
        <v>18</v>
      </c>
      <c r="O160" s="2">
        <f t="shared" si="22"/>
        <v>0</v>
      </c>
    </row>
    <row r="161" spans="1:10" x14ac:dyDescent="0.35">
      <c r="A161" s="61"/>
      <c r="B161" s="61" t="s">
        <v>721</v>
      </c>
      <c r="C161" s="64">
        <f>SUM(C5:C157)</f>
        <v>99412</v>
      </c>
      <c r="D161" s="329" t="s">
        <v>229</v>
      </c>
      <c r="E161" s="329"/>
      <c r="F161" s="58">
        <f>SUM(F5:F160)</f>
        <v>33744</v>
      </c>
      <c r="G161" s="58">
        <f>SUM(G5:G160)</f>
        <v>16616</v>
      </c>
      <c r="H161" s="58">
        <f>SUM(H5:H160)</f>
        <v>1884</v>
      </c>
      <c r="I161" s="58">
        <f>SUM(I5:I160)</f>
        <v>1976</v>
      </c>
      <c r="J161" s="58">
        <f>SUM(J5:J160)</f>
        <v>457</v>
      </c>
    </row>
    <row r="162" spans="1:10" x14ac:dyDescent="0.35">
      <c r="B162" s="53" t="s">
        <v>719</v>
      </c>
      <c r="C162" s="78">
        <f>SUM(C161,F161,G161,H161,I161,J161)</f>
        <v>154089</v>
      </c>
    </row>
  </sheetData>
  <mergeCells count="6">
    <mergeCell ref="D161:E161"/>
    <mergeCell ref="D1:J1"/>
    <mergeCell ref="D2:J2"/>
    <mergeCell ref="F3:J3"/>
    <mergeCell ref="A1:C1"/>
    <mergeCell ref="A2:C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workbookViewId="0">
      <selection sqref="A1:C1"/>
    </sheetView>
  </sheetViews>
  <sheetFormatPr defaultRowHeight="21" x14ac:dyDescent="0.35"/>
  <cols>
    <col min="1" max="1" width="14.85546875" style="2" customWidth="1"/>
    <col min="2" max="2" width="20.140625" style="2" customWidth="1"/>
    <col min="3" max="3" width="21.7109375" style="94" customWidth="1"/>
    <col min="4" max="4" width="22.28515625" style="2" customWidth="1"/>
    <col min="5" max="5" width="9.140625" style="22"/>
    <col min="6" max="6" width="13.7109375" style="22" customWidth="1"/>
    <col min="7" max="7" width="11.28515625" style="22" customWidth="1"/>
    <col min="8" max="8" width="9.140625" style="22"/>
    <col min="9" max="9" width="20.140625" style="22" customWidth="1"/>
    <col min="10" max="10" width="14.7109375" style="22" customWidth="1"/>
    <col min="11" max="16384" width="9.140625" style="2"/>
  </cols>
  <sheetData>
    <row r="1" spans="1:15" x14ac:dyDescent="0.35">
      <c r="A1" s="334" t="s">
        <v>740</v>
      </c>
      <c r="B1" s="334"/>
      <c r="C1" s="334"/>
      <c r="D1" s="349" t="s">
        <v>239</v>
      </c>
      <c r="E1" s="350"/>
      <c r="F1" s="350"/>
      <c r="G1" s="350"/>
      <c r="H1" s="350"/>
      <c r="I1" s="350"/>
      <c r="J1" s="350"/>
    </row>
    <row r="2" spans="1:15" x14ac:dyDescent="0.35">
      <c r="A2" s="334" t="s">
        <v>861</v>
      </c>
      <c r="B2" s="334"/>
      <c r="C2" s="334"/>
      <c r="D2" s="351" t="s">
        <v>862</v>
      </c>
      <c r="E2" s="349"/>
      <c r="F2" s="349"/>
      <c r="G2" s="349"/>
      <c r="H2" s="349"/>
      <c r="I2" s="349"/>
      <c r="J2" s="349"/>
    </row>
    <row r="3" spans="1:15" x14ac:dyDescent="0.35">
      <c r="A3" s="90"/>
      <c r="B3" s="90"/>
      <c r="C3" s="109"/>
      <c r="F3" s="352" t="s">
        <v>716</v>
      </c>
      <c r="G3" s="352"/>
      <c r="H3" s="352"/>
      <c r="I3" s="352"/>
      <c r="J3" s="352"/>
    </row>
    <row r="4" spans="1:15" x14ac:dyDescent="0.35">
      <c r="A4" s="117" t="s">
        <v>714</v>
      </c>
      <c r="B4" s="117" t="s">
        <v>254</v>
      </c>
      <c r="C4" s="118" t="s">
        <v>715</v>
      </c>
      <c r="D4" s="28" t="s">
        <v>223</v>
      </c>
      <c r="E4" s="29" t="s">
        <v>222</v>
      </c>
      <c r="F4" s="29" t="s">
        <v>218</v>
      </c>
      <c r="G4" s="29" t="s">
        <v>219</v>
      </c>
      <c r="H4" s="29" t="s">
        <v>220</v>
      </c>
      <c r="I4" s="29" t="s">
        <v>238</v>
      </c>
      <c r="J4" s="29" t="s">
        <v>221</v>
      </c>
    </row>
    <row r="5" spans="1:15" x14ac:dyDescent="0.35">
      <c r="A5" s="71" t="s">
        <v>428</v>
      </c>
      <c r="B5" s="71" t="s">
        <v>429</v>
      </c>
      <c r="C5" s="125">
        <v>4846</v>
      </c>
      <c r="D5" s="30" t="s">
        <v>154</v>
      </c>
      <c r="E5" s="31" t="s">
        <v>0</v>
      </c>
      <c r="F5" s="25">
        <v>1</v>
      </c>
      <c r="G5" s="27">
        <v>0</v>
      </c>
      <c r="H5" s="27">
        <v>0</v>
      </c>
      <c r="I5" s="27">
        <v>0</v>
      </c>
      <c r="J5" s="27">
        <v>0</v>
      </c>
    </row>
    <row r="6" spans="1:15" x14ac:dyDescent="0.35">
      <c r="A6" s="72"/>
      <c r="B6" s="72"/>
      <c r="C6" s="102"/>
      <c r="D6" s="30" t="s">
        <v>154</v>
      </c>
      <c r="E6" s="31" t="s">
        <v>17</v>
      </c>
      <c r="F6" s="25">
        <v>442</v>
      </c>
      <c r="G6" s="25">
        <v>29</v>
      </c>
      <c r="H6" s="25">
        <v>1</v>
      </c>
      <c r="I6" s="25">
        <v>6</v>
      </c>
      <c r="J6" s="25">
        <v>3</v>
      </c>
    </row>
    <row r="7" spans="1:15" x14ac:dyDescent="0.35">
      <c r="A7" s="72"/>
      <c r="B7" s="72"/>
      <c r="C7" s="102"/>
      <c r="D7" s="30" t="s">
        <v>154</v>
      </c>
      <c r="E7" s="31" t="s">
        <v>2</v>
      </c>
      <c r="F7" s="25">
        <v>99</v>
      </c>
      <c r="G7" s="25">
        <v>37</v>
      </c>
      <c r="H7" s="25">
        <v>3</v>
      </c>
      <c r="I7" s="25">
        <v>2</v>
      </c>
      <c r="J7" s="27">
        <v>0</v>
      </c>
    </row>
    <row r="8" spans="1:15" x14ac:dyDescent="0.35">
      <c r="A8" s="72"/>
      <c r="B8" s="72"/>
      <c r="C8" s="102"/>
      <c r="D8" s="30" t="s">
        <v>154</v>
      </c>
      <c r="E8" s="31" t="s">
        <v>3</v>
      </c>
      <c r="F8" s="25">
        <v>369</v>
      </c>
      <c r="G8" s="25">
        <v>251</v>
      </c>
      <c r="H8" s="25">
        <v>31</v>
      </c>
      <c r="I8" s="25">
        <v>28</v>
      </c>
      <c r="J8" s="27">
        <v>6</v>
      </c>
    </row>
    <row r="9" spans="1:15" x14ac:dyDescent="0.35">
      <c r="A9" s="72"/>
      <c r="B9" s="72"/>
      <c r="C9" s="102"/>
      <c r="D9" s="30" t="s">
        <v>154</v>
      </c>
      <c r="E9" s="31" t="s">
        <v>4</v>
      </c>
      <c r="F9" s="25">
        <v>80</v>
      </c>
      <c r="G9" s="25">
        <v>36</v>
      </c>
      <c r="H9" s="25">
        <v>8</v>
      </c>
      <c r="I9" s="25">
        <v>3</v>
      </c>
      <c r="J9" s="27">
        <v>0</v>
      </c>
    </row>
    <row r="10" spans="1:15" x14ac:dyDescent="0.35">
      <c r="A10" s="72"/>
      <c r="B10" s="72"/>
      <c r="C10" s="102"/>
      <c r="D10" s="30" t="s">
        <v>154</v>
      </c>
      <c r="E10" s="31" t="s">
        <v>5</v>
      </c>
      <c r="F10" s="25">
        <v>121</v>
      </c>
      <c r="G10" s="25">
        <v>14</v>
      </c>
      <c r="H10" s="25">
        <v>1</v>
      </c>
      <c r="I10" s="25">
        <v>8</v>
      </c>
      <c r="J10" s="25">
        <v>2</v>
      </c>
    </row>
    <row r="11" spans="1:15" x14ac:dyDescent="0.35">
      <c r="A11" s="72"/>
      <c r="B11" s="72"/>
      <c r="C11" s="102"/>
      <c r="D11" s="30" t="s">
        <v>154</v>
      </c>
      <c r="E11" s="31" t="s">
        <v>6</v>
      </c>
      <c r="F11" s="25">
        <v>187</v>
      </c>
      <c r="G11" s="25">
        <v>43</v>
      </c>
      <c r="H11" s="25">
        <v>2</v>
      </c>
      <c r="I11" s="25">
        <v>8</v>
      </c>
      <c r="J11" s="27">
        <v>3</v>
      </c>
    </row>
    <row r="12" spans="1:15" x14ac:dyDescent="0.35">
      <c r="A12" s="72"/>
      <c r="B12" s="72"/>
      <c r="C12" s="102"/>
      <c r="D12" s="30" t="s">
        <v>154</v>
      </c>
      <c r="E12" s="31" t="s">
        <v>7</v>
      </c>
      <c r="F12" s="25">
        <v>46</v>
      </c>
      <c r="G12" s="25">
        <v>25</v>
      </c>
      <c r="H12" s="25">
        <v>5</v>
      </c>
      <c r="I12" s="25">
        <v>5</v>
      </c>
      <c r="J12" s="27">
        <v>0</v>
      </c>
    </row>
    <row r="13" spans="1:15" x14ac:dyDescent="0.35">
      <c r="A13" s="72"/>
      <c r="B13" s="72"/>
      <c r="C13" s="102"/>
      <c r="D13" s="30" t="s">
        <v>154</v>
      </c>
      <c r="E13" s="31" t="s">
        <v>8</v>
      </c>
      <c r="F13" s="25">
        <v>77</v>
      </c>
      <c r="G13" s="25">
        <v>28</v>
      </c>
      <c r="H13" s="25">
        <v>1</v>
      </c>
      <c r="I13" s="25">
        <v>4</v>
      </c>
      <c r="J13" s="27">
        <v>1</v>
      </c>
    </row>
    <row r="14" spans="1:15" x14ac:dyDescent="0.35">
      <c r="A14" s="72"/>
      <c r="B14" s="72"/>
      <c r="C14" s="102"/>
      <c r="D14" s="30" t="s">
        <v>154</v>
      </c>
      <c r="E14" s="31" t="s">
        <v>9</v>
      </c>
      <c r="F14" s="25">
        <v>152</v>
      </c>
      <c r="G14" s="25">
        <v>9</v>
      </c>
      <c r="H14" s="27">
        <v>0</v>
      </c>
      <c r="I14" s="25">
        <v>2</v>
      </c>
      <c r="J14" s="27">
        <v>2</v>
      </c>
    </row>
    <row r="15" spans="1:15" x14ac:dyDescent="0.35">
      <c r="A15" s="72"/>
      <c r="B15" s="72"/>
      <c r="C15" s="102"/>
      <c r="D15" s="30" t="s">
        <v>154</v>
      </c>
      <c r="E15" s="31" t="s">
        <v>15</v>
      </c>
      <c r="F15" s="25">
        <v>3</v>
      </c>
      <c r="G15" s="27">
        <v>0</v>
      </c>
      <c r="H15" s="27">
        <v>0</v>
      </c>
      <c r="I15" s="27">
        <v>0</v>
      </c>
      <c r="J15" s="27">
        <v>0</v>
      </c>
      <c r="K15" s="2">
        <f>SUM(F5:F15)</f>
        <v>1577</v>
      </c>
      <c r="L15" s="2">
        <f t="shared" ref="L15:N15" si="0">SUM(G5:G15)</f>
        <v>472</v>
      </c>
      <c r="M15" s="2">
        <f t="shared" si="0"/>
        <v>52</v>
      </c>
      <c r="N15" s="2">
        <f t="shared" si="0"/>
        <v>66</v>
      </c>
      <c r="O15" s="2">
        <f>SUM(J5:J15)</f>
        <v>17</v>
      </c>
    </row>
    <row r="16" spans="1:15" x14ac:dyDescent="0.35">
      <c r="A16" s="126" t="s">
        <v>382</v>
      </c>
      <c r="B16" s="126" t="s">
        <v>383</v>
      </c>
      <c r="C16" s="127">
        <v>3654</v>
      </c>
      <c r="D16" s="30" t="s">
        <v>155</v>
      </c>
      <c r="E16" s="31" t="s">
        <v>0</v>
      </c>
      <c r="F16" s="21">
        <v>1</v>
      </c>
      <c r="G16" s="26">
        <v>0</v>
      </c>
      <c r="H16" s="26">
        <v>0</v>
      </c>
      <c r="I16" s="26">
        <v>0</v>
      </c>
      <c r="J16" s="26">
        <v>0</v>
      </c>
    </row>
    <row r="17" spans="1:15" x14ac:dyDescent="0.35">
      <c r="A17" s="123"/>
      <c r="B17" s="123"/>
      <c r="C17" s="124"/>
      <c r="D17" s="30" t="s">
        <v>155</v>
      </c>
      <c r="E17" s="31" t="s">
        <v>17</v>
      </c>
      <c r="F17" s="21">
        <v>161</v>
      </c>
      <c r="G17" s="21">
        <v>41</v>
      </c>
      <c r="H17" s="21">
        <v>21</v>
      </c>
      <c r="I17" s="21">
        <v>11</v>
      </c>
      <c r="J17" s="21">
        <v>6</v>
      </c>
    </row>
    <row r="18" spans="1:15" x14ac:dyDescent="0.35">
      <c r="A18" s="123"/>
      <c r="B18" s="123"/>
      <c r="C18" s="124"/>
      <c r="D18" s="30" t="s">
        <v>155</v>
      </c>
      <c r="E18" s="31" t="s">
        <v>2</v>
      </c>
      <c r="F18" s="21">
        <v>102</v>
      </c>
      <c r="G18" s="21">
        <v>15</v>
      </c>
      <c r="H18" s="21">
        <v>7</v>
      </c>
      <c r="I18" s="21">
        <v>3</v>
      </c>
      <c r="J18" s="26">
        <v>0</v>
      </c>
    </row>
    <row r="19" spans="1:15" x14ac:dyDescent="0.35">
      <c r="A19" s="123"/>
      <c r="B19" s="123"/>
      <c r="C19" s="124"/>
      <c r="D19" s="30" t="s">
        <v>155</v>
      </c>
      <c r="E19" s="31" t="s">
        <v>3</v>
      </c>
      <c r="F19" s="21">
        <v>115</v>
      </c>
      <c r="G19" s="21">
        <v>17</v>
      </c>
      <c r="H19" s="26">
        <v>0</v>
      </c>
      <c r="I19" s="21">
        <v>2</v>
      </c>
      <c r="J19" s="26">
        <v>0</v>
      </c>
    </row>
    <row r="20" spans="1:15" x14ac:dyDescent="0.35">
      <c r="A20" s="123"/>
      <c r="B20" s="123"/>
      <c r="C20" s="124"/>
      <c r="D20" s="30" t="s">
        <v>155</v>
      </c>
      <c r="E20" s="31" t="s">
        <v>4</v>
      </c>
      <c r="F20" s="21">
        <v>122</v>
      </c>
      <c r="G20" s="21">
        <v>18</v>
      </c>
      <c r="H20" s="21">
        <v>8</v>
      </c>
      <c r="I20" s="21">
        <v>3</v>
      </c>
      <c r="J20" s="26">
        <v>0</v>
      </c>
    </row>
    <row r="21" spans="1:15" x14ac:dyDescent="0.35">
      <c r="A21" s="123"/>
      <c r="B21" s="123"/>
      <c r="C21" s="124"/>
      <c r="D21" s="30" t="s">
        <v>155</v>
      </c>
      <c r="E21" s="31" t="s">
        <v>5</v>
      </c>
      <c r="F21" s="21">
        <v>67</v>
      </c>
      <c r="G21" s="21">
        <v>24</v>
      </c>
      <c r="H21" s="26">
        <v>0</v>
      </c>
      <c r="I21" s="21">
        <v>1</v>
      </c>
      <c r="J21" s="26">
        <v>1</v>
      </c>
    </row>
    <row r="22" spans="1:15" x14ac:dyDescent="0.35">
      <c r="A22" s="123"/>
      <c r="B22" s="123"/>
      <c r="C22" s="124"/>
      <c r="D22" s="30" t="s">
        <v>155</v>
      </c>
      <c r="E22" s="31" t="s">
        <v>6</v>
      </c>
      <c r="F22" s="21">
        <v>165</v>
      </c>
      <c r="G22" s="21">
        <v>39</v>
      </c>
      <c r="H22" s="26">
        <v>0</v>
      </c>
      <c r="I22" s="21">
        <v>5</v>
      </c>
      <c r="J22" s="26">
        <v>1</v>
      </c>
    </row>
    <row r="23" spans="1:15" x14ac:dyDescent="0.35">
      <c r="A23" s="123"/>
      <c r="B23" s="123"/>
      <c r="C23" s="124"/>
      <c r="D23" s="30" t="s">
        <v>155</v>
      </c>
      <c r="E23" s="31" t="s">
        <v>7</v>
      </c>
      <c r="F23" s="21">
        <v>105</v>
      </c>
      <c r="G23" s="21">
        <v>4</v>
      </c>
      <c r="H23" s="26">
        <v>0</v>
      </c>
      <c r="I23" s="21">
        <v>1</v>
      </c>
      <c r="J23" s="26">
        <v>0</v>
      </c>
    </row>
    <row r="24" spans="1:15" x14ac:dyDescent="0.35">
      <c r="A24" s="123"/>
      <c r="B24" s="123"/>
      <c r="C24" s="124"/>
      <c r="D24" s="30" t="s">
        <v>155</v>
      </c>
      <c r="E24" s="31" t="s">
        <v>8</v>
      </c>
      <c r="F24" s="21">
        <v>107</v>
      </c>
      <c r="G24" s="21">
        <v>34</v>
      </c>
      <c r="H24" s="21">
        <v>4</v>
      </c>
      <c r="I24" s="21">
        <v>4</v>
      </c>
      <c r="J24" s="26">
        <v>2</v>
      </c>
    </row>
    <row r="25" spans="1:15" x14ac:dyDescent="0.35">
      <c r="A25" s="123"/>
      <c r="B25" s="123"/>
      <c r="C25" s="124"/>
      <c r="D25" s="30" t="s">
        <v>155</v>
      </c>
      <c r="E25" s="31" t="s">
        <v>9</v>
      </c>
      <c r="F25" s="21">
        <v>63</v>
      </c>
      <c r="G25" s="21">
        <v>13</v>
      </c>
      <c r="H25" s="26">
        <v>0</v>
      </c>
      <c r="I25" s="26">
        <v>0</v>
      </c>
      <c r="J25" s="21">
        <v>0</v>
      </c>
    </row>
    <row r="26" spans="1:15" x14ac:dyDescent="0.35">
      <c r="A26" s="123"/>
      <c r="B26" s="123"/>
      <c r="C26" s="124"/>
      <c r="D26" s="30" t="s">
        <v>155</v>
      </c>
      <c r="E26" s="31" t="s">
        <v>11</v>
      </c>
      <c r="F26" s="21">
        <v>104</v>
      </c>
      <c r="G26" s="21">
        <v>27</v>
      </c>
      <c r="H26" s="21">
        <v>4</v>
      </c>
      <c r="I26" s="21">
        <v>6</v>
      </c>
      <c r="J26" s="26">
        <v>2</v>
      </c>
      <c r="K26" s="2">
        <f>SUM(F16:F26)</f>
        <v>1112</v>
      </c>
      <c r="L26" s="2">
        <f t="shared" ref="L26:O26" si="1">SUM(G16:G26)</f>
        <v>232</v>
      </c>
      <c r="M26" s="2">
        <f t="shared" si="1"/>
        <v>44</v>
      </c>
      <c r="N26" s="2">
        <f t="shared" si="1"/>
        <v>36</v>
      </c>
      <c r="O26" s="2">
        <f t="shared" si="1"/>
        <v>12</v>
      </c>
    </row>
    <row r="27" spans="1:15" x14ac:dyDescent="0.35">
      <c r="A27" s="71"/>
      <c r="B27" s="71"/>
      <c r="C27" s="125"/>
      <c r="D27" s="30" t="s">
        <v>156</v>
      </c>
      <c r="E27" s="31">
        <v>0</v>
      </c>
      <c r="F27" s="25">
        <v>0</v>
      </c>
      <c r="G27" s="25">
        <v>0</v>
      </c>
      <c r="H27" s="27">
        <v>0</v>
      </c>
      <c r="I27" s="27">
        <v>0</v>
      </c>
      <c r="J27" s="25">
        <v>0</v>
      </c>
    </row>
    <row r="28" spans="1:15" x14ac:dyDescent="0.35">
      <c r="A28" s="71" t="s">
        <v>625</v>
      </c>
      <c r="B28" s="71" t="s">
        <v>626</v>
      </c>
      <c r="C28" s="125">
        <v>3246</v>
      </c>
      <c r="D28" s="30" t="s">
        <v>156</v>
      </c>
      <c r="E28" s="31" t="s">
        <v>17</v>
      </c>
      <c r="F28" s="25">
        <v>119</v>
      </c>
      <c r="G28" s="25">
        <v>25</v>
      </c>
      <c r="H28" s="25">
        <v>1</v>
      </c>
      <c r="I28" s="25">
        <v>5</v>
      </c>
      <c r="J28" s="25">
        <v>2</v>
      </c>
    </row>
    <row r="29" spans="1:15" x14ac:dyDescent="0.35">
      <c r="A29" s="72"/>
      <c r="B29" s="72"/>
      <c r="C29" s="102"/>
      <c r="D29" s="30" t="s">
        <v>156</v>
      </c>
      <c r="E29" s="31" t="s">
        <v>2</v>
      </c>
      <c r="F29" s="25">
        <v>96</v>
      </c>
      <c r="G29" s="25">
        <v>26</v>
      </c>
      <c r="H29" s="25">
        <v>4</v>
      </c>
      <c r="I29" s="25">
        <v>3</v>
      </c>
      <c r="J29" s="27">
        <v>0</v>
      </c>
    </row>
    <row r="30" spans="1:15" x14ac:dyDescent="0.35">
      <c r="A30" s="72"/>
      <c r="B30" s="72"/>
      <c r="C30" s="102"/>
      <c r="D30" s="30" t="s">
        <v>156</v>
      </c>
      <c r="E30" s="31" t="s">
        <v>3</v>
      </c>
      <c r="F30" s="25">
        <v>329</v>
      </c>
      <c r="G30" s="25">
        <v>128</v>
      </c>
      <c r="H30" s="25">
        <v>9</v>
      </c>
      <c r="I30" s="25">
        <v>7</v>
      </c>
      <c r="J30" s="25">
        <v>3</v>
      </c>
    </row>
    <row r="31" spans="1:15" x14ac:dyDescent="0.35">
      <c r="A31" s="72"/>
      <c r="B31" s="72"/>
      <c r="C31" s="102"/>
      <c r="D31" s="30" t="s">
        <v>156</v>
      </c>
      <c r="E31" s="31" t="s">
        <v>6</v>
      </c>
      <c r="F31" s="25">
        <v>83</v>
      </c>
      <c r="G31" s="25">
        <v>25</v>
      </c>
      <c r="H31" s="25">
        <v>5</v>
      </c>
      <c r="I31" s="25">
        <v>6</v>
      </c>
      <c r="J31" s="27">
        <v>0</v>
      </c>
    </row>
    <row r="32" spans="1:15" x14ac:dyDescent="0.35">
      <c r="A32" s="135" t="s">
        <v>627</v>
      </c>
      <c r="B32" s="135" t="s">
        <v>628</v>
      </c>
      <c r="C32" s="171">
        <v>2395</v>
      </c>
      <c r="D32" s="30" t="s">
        <v>156</v>
      </c>
      <c r="E32" s="31" t="s">
        <v>4</v>
      </c>
      <c r="F32" s="17">
        <v>232</v>
      </c>
      <c r="G32" s="17">
        <v>28</v>
      </c>
      <c r="H32" s="17">
        <v>9</v>
      </c>
      <c r="I32" s="17">
        <v>4</v>
      </c>
      <c r="J32" s="169">
        <v>0</v>
      </c>
    </row>
    <row r="33" spans="1:15" x14ac:dyDescent="0.35">
      <c r="A33" s="80"/>
      <c r="B33" s="80"/>
      <c r="C33" s="105"/>
      <c r="D33" s="30" t="s">
        <v>156</v>
      </c>
      <c r="E33" s="31" t="s">
        <v>5</v>
      </c>
      <c r="F33" s="17">
        <v>320</v>
      </c>
      <c r="G33" s="17">
        <v>34</v>
      </c>
      <c r="H33" s="17">
        <v>4</v>
      </c>
      <c r="I33" s="17">
        <v>5</v>
      </c>
      <c r="J33" s="17">
        <v>1</v>
      </c>
    </row>
    <row r="34" spans="1:15" x14ac:dyDescent="0.35">
      <c r="A34" s="80"/>
      <c r="B34" s="80"/>
      <c r="C34" s="105"/>
      <c r="D34" s="30" t="s">
        <v>156</v>
      </c>
      <c r="E34" s="31" t="s">
        <v>7</v>
      </c>
      <c r="F34" s="17">
        <v>187</v>
      </c>
      <c r="G34" s="17">
        <v>36</v>
      </c>
      <c r="H34" s="17">
        <v>1</v>
      </c>
      <c r="I34" s="17">
        <v>5</v>
      </c>
      <c r="J34" s="17">
        <v>0</v>
      </c>
    </row>
    <row r="35" spans="1:15" x14ac:dyDescent="0.35">
      <c r="A35" s="80"/>
      <c r="B35" s="80"/>
      <c r="C35" s="105"/>
      <c r="D35" s="30" t="s">
        <v>156</v>
      </c>
      <c r="E35" s="31" t="s">
        <v>8</v>
      </c>
      <c r="F35" s="17">
        <v>115</v>
      </c>
      <c r="G35" s="17">
        <v>18</v>
      </c>
      <c r="H35" s="169">
        <v>0</v>
      </c>
      <c r="I35" s="17">
        <v>6</v>
      </c>
      <c r="J35" s="169">
        <v>8</v>
      </c>
    </row>
    <row r="36" spans="1:15" x14ac:dyDescent="0.35">
      <c r="A36" s="80"/>
      <c r="B36" s="80"/>
      <c r="C36" s="105"/>
      <c r="D36" s="30" t="s">
        <v>156</v>
      </c>
      <c r="E36" s="31" t="s">
        <v>15</v>
      </c>
      <c r="F36" s="17">
        <v>0</v>
      </c>
      <c r="G36" s="17">
        <v>1</v>
      </c>
      <c r="H36" s="169">
        <v>0</v>
      </c>
      <c r="I36" s="169">
        <v>0</v>
      </c>
      <c r="J36" s="169">
        <v>0</v>
      </c>
      <c r="K36" s="2">
        <f>SUM(F32:F36)</f>
        <v>854</v>
      </c>
      <c r="L36" s="2">
        <f t="shared" ref="L36:O36" si="2">SUM(G32:G36)</f>
        <v>117</v>
      </c>
      <c r="M36" s="2">
        <f t="shared" si="2"/>
        <v>14</v>
      </c>
      <c r="N36" s="2">
        <f t="shared" si="2"/>
        <v>20</v>
      </c>
      <c r="O36" s="2">
        <f t="shared" si="2"/>
        <v>9</v>
      </c>
    </row>
    <row r="37" spans="1:15" x14ac:dyDescent="0.35">
      <c r="A37" s="126" t="s">
        <v>384</v>
      </c>
      <c r="B37" s="126" t="s">
        <v>385</v>
      </c>
      <c r="C37" s="127">
        <v>3077</v>
      </c>
      <c r="D37" s="30" t="s">
        <v>157</v>
      </c>
      <c r="E37" s="31" t="s">
        <v>17</v>
      </c>
      <c r="F37" s="21">
        <v>241</v>
      </c>
      <c r="G37" s="21">
        <v>34</v>
      </c>
      <c r="H37" s="21">
        <v>1</v>
      </c>
      <c r="I37" s="21">
        <v>5</v>
      </c>
      <c r="J37" s="26">
        <v>1</v>
      </c>
    </row>
    <row r="38" spans="1:15" x14ac:dyDescent="0.35">
      <c r="A38" s="123"/>
      <c r="B38" s="123"/>
      <c r="C38" s="124"/>
      <c r="D38" s="30" t="s">
        <v>157</v>
      </c>
      <c r="E38" s="31" t="s">
        <v>2</v>
      </c>
      <c r="F38" s="21">
        <v>162</v>
      </c>
      <c r="G38" s="21">
        <v>40</v>
      </c>
      <c r="H38" s="21">
        <v>2</v>
      </c>
      <c r="I38" s="21">
        <v>6</v>
      </c>
      <c r="J38" s="26">
        <v>4</v>
      </c>
    </row>
    <row r="39" spans="1:15" x14ac:dyDescent="0.35">
      <c r="A39" s="123"/>
      <c r="B39" s="123"/>
      <c r="C39" s="124"/>
      <c r="D39" s="30" t="s">
        <v>157</v>
      </c>
      <c r="E39" s="31" t="s">
        <v>6</v>
      </c>
      <c r="F39" s="21">
        <v>190</v>
      </c>
      <c r="G39" s="21">
        <v>36</v>
      </c>
      <c r="H39" s="21">
        <v>7</v>
      </c>
      <c r="I39" s="21">
        <v>4</v>
      </c>
      <c r="J39" s="26">
        <v>0</v>
      </c>
    </row>
    <row r="40" spans="1:15" x14ac:dyDescent="0.35">
      <c r="A40" s="123"/>
      <c r="B40" s="123"/>
      <c r="C40" s="124"/>
      <c r="D40" s="30" t="s">
        <v>157</v>
      </c>
      <c r="E40" s="31" t="s">
        <v>7</v>
      </c>
      <c r="F40" s="21">
        <v>183</v>
      </c>
      <c r="G40" s="21">
        <v>76</v>
      </c>
      <c r="H40" s="26">
        <v>0</v>
      </c>
      <c r="I40" s="21">
        <v>12</v>
      </c>
      <c r="J40" s="21">
        <v>0</v>
      </c>
    </row>
    <row r="41" spans="1:15" x14ac:dyDescent="0.35">
      <c r="A41" s="123"/>
      <c r="B41" s="123"/>
      <c r="C41" s="124"/>
      <c r="D41" s="30" t="s">
        <v>158</v>
      </c>
      <c r="E41" s="31" t="s">
        <v>17</v>
      </c>
      <c r="F41" s="21">
        <v>97</v>
      </c>
      <c r="G41" s="21">
        <v>17</v>
      </c>
      <c r="H41" s="26">
        <v>0</v>
      </c>
      <c r="I41" s="21">
        <v>2</v>
      </c>
      <c r="J41" s="26">
        <v>0</v>
      </c>
    </row>
    <row r="42" spans="1:15" x14ac:dyDescent="0.35">
      <c r="A42" s="123"/>
      <c r="B42" s="123"/>
      <c r="C42" s="124"/>
      <c r="D42" s="30" t="s">
        <v>158</v>
      </c>
      <c r="E42" s="31" t="s">
        <v>2</v>
      </c>
      <c r="F42" s="21">
        <v>65</v>
      </c>
      <c r="G42" s="21">
        <v>24</v>
      </c>
      <c r="H42" s="26">
        <v>0</v>
      </c>
      <c r="I42" s="21">
        <v>9</v>
      </c>
      <c r="J42" s="26">
        <v>1</v>
      </c>
      <c r="K42" s="2">
        <f>SUM(F37:F42)</f>
        <v>938</v>
      </c>
      <c r="L42" s="2">
        <f t="shared" ref="L42:O42" si="3">SUM(G37:G42)</f>
        <v>227</v>
      </c>
      <c r="M42" s="2">
        <f t="shared" si="3"/>
        <v>10</v>
      </c>
      <c r="N42" s="2">
        <f t="shared" si="3"/>
        <v>38</v>
      </c>
      <c r="O42" s="2">
        <f t="shared" si="3"/>
        <v>6</v>
      </c>
    </row>
    <row r="43" spans="1:15" x14ac:dyDescent="0.35">
      <c r="A43" s="71" t="s">
        <v>629</v>
      </c>
      <c r="B43" s="71" t="s">
        <v>630</v>
      </c>
      <c r="C43" s="125">
        <v>2366</v>
      </c>
      <c r="D43" s="30" t="s">
        <v>157</v>
      </c>
      <c r="E43" s="31" t="s">
        <v>3</v>
      </c>
      <c r="F43" s="13">
        <v>228</v>
      </c>
      <c r="G43" s="13">
        <v>30</v>
      </c>
      <c r="H43" s="13">
        <v>2</v>
      </c>
      <c r="I43" s="13">
        <v>1</v>
      </c>
      <c r="J43" s="15">
        <v>2</v>
      </c>
    </row>
    <row r="44" spans="1:15" x14ac:dyDescent="0.35">
      <c r="A44" s="71"/>
      <c r="B44" s="71"/>
      <c r="C44" s="125"/>
      <c r="D44" s="30" t="s">
        <v>158</v>
      </c>
      <c r="E44" s="31" t="s">
        <v>3</v>
      </c>
      <c r="F44" s="25">
        <v>139</v>
      </c>
      <c r="G44" s="25">
        <v>33</v>
      </c>
      <c r="H44" s="27">
        <v>0</v>
      </c>
      <c r="I44" s="25">
        <v>7</v>
      </c>
      <c r="J44" s="27">
        <v>1</v>
      </c>
    </row>
    <row r="45" spans="1:15" x14ac:dyDescent="0.35">
      <c r="A45" s="71"/>
      <c r="B45" s="71"/>
      <c r="C45" s="125"/>
      <c r="D45" s="30" t="s">
        <v>160</v>
      </c>
      <c r="E45" s="31" t="s">
        <v>17</v>
      </c>
      <c r="F45" s="25">
        <v>112</v>
      </c>
      <c r="G45" s="25">
        <v>23</v>
      </c>
      <c r="H45" s="25">
        <v>1</v>
      </c>
      <c r="I45" s="25">
        <v>4</v>
      </c>
      <c r="J45" s="27">
        <v>0</v>
      </c>
    </row>
    <row r="46" spans="1:15" x14ac:dyDescent="0.35">
      <c r="A46" s="71"/>
      <c r="B46" s="71"/>
      <c r="C46" s="125"/>
      <c r="D46" s="30" t="s">
        <v>160</v>
      </c>
      <c r="E46" s="31" t="s">
        <v>3</v>
      </c>
      <c r="F46" s="25">
        <v>74</v>
      </c>
      <c r="G46" s="25">
        <v>8</v>
      </c>
      <c r="H46" s="27">
        <v>1</v>
      </c>
      <c r="I46" s="25">
        <v>1</v>
      </c>
      <c r="J46" s="27">
        <v>0</v>
      </c>
    </row>
    <row r="47" spans="1:15" x14ac:dyDescent="0.35">
      <c r="A47" s="71"/>
      <c r="B47" s="71"/>
      <c r="C47" s="125"/>
      <c r="D47" s="30" t="s">
        <v>160</v>
      </c>
      <c r="E47" s="31" t="s">
        <v>4</v>
      </c>
      <c r="F47" s="25">
        <v>130</v>
      </c>
      <c r="G47" s="25">
        <v>22</v>
      </c>
      <c r="H47" s="25">
        <v>6</v>
      </c>
      <c r="I47" s="25">
        <v>3</v>
      </c>
      <c r="J47" s="25">
        <v>0</v>
      </c>
    </row>
    <row r="48" spans="1:15" x14ac:dyDescent="0.35">
      <c r="A48" s="71"/>
      <c r="B48" s="71"/>
      <c r="C48" s="125"/>
      <c r="D48" s="30" t="s">
        <v>160</v>
      </c>
      <c r="E48" s="31" t="s">
        <v>5</v>
      </c>
      <c r="F48" s="25">
        <v>118</v>
      </c>
      <c r="G48" s="25">
        <v>15</v>
      </c>
      <c r="H48" s="25">
        <v>9</v>
      </c>
      <c r="I48" s="25">
        <v>0</v>
      </c>
      <c r="J48" s="27">
        <v>0</v>
      </c>
      <c r="K48" s="2">
        <f>SUM(F43:F48)</f>
        <v>801</v>
      </c>
      <c r="L48" s="2">
        <f t="shared" ref="L48:O48" si="4">SUM(G43:G48)</f>
        <v>131</v>
      </c>
      <c r="M48" s="2">
        <f t="shared" si="4"/>
        <v>19</v>
      </c>
      <c r="N48" s="2">
        <f t="shared" si="4"/>
        <v>16</v>
      </c>
      <c r="O48" s="2">
        <f t="shared" si="4"/>
        <v>3</v>
      </c>
    </row>
    <row r="49" spans="1:15" x14ac:dyDescent="0.35">
      <c r="A49" s="3" t="s">
        <v>386</v>
      </c>
      <c r="B49" s="3" t="s">
        <v>387</v>
      </c>
      <c r="C49" s="131">
        <v>1658</v>
      </c>
      <c r="D49" s="30" t="s">
        <v>158</v>
      </c>
      <c r="E49" s="31" t="s">
        <v>4</v>
      </c>
      <c r="F49" s="12">
        <v>150</v>
      </c>
      <c r="G49" s="12">
        <v>54</v>
      </c>
      <c r="H49" s="12">
        <v>9</v>
      </c>
      <c r="I49" s="12">
        <v>7</v>
      </c>
      <c r="J49" s="12">
        <v>1</v>
      </c>
    </row>
    <row r="50" spans="1:15" x14ac:dyDescent="0.35">
      <c r="A50" s="79"/>
      <c r="B50" s="79"/>
      <c r="C50" s="99"/>
      <c r="D50" s="30" t="s">
        <v>158</v>
      </c>
      <c r="E50" s="31" t="s">
        <v>5</v>
      </c>
      <c r="F50" s="12">
        <v>99</v>
      </c>
      <c r="G50" s="12">
        <v>30</v>
      </c>
      <c r="H50" s="12">
        <v>8</v>
      </c>
      <c r="I50" s="12">
        <v>3</v>
      </c>
      <c r="J50" s="14">
        <v>0</v>
      </c>
    </row>
    <row r="51" spans="1:15" x14ac:dyDescent="0.35">
      <c r="A51" s="79"/>
      <c r="B51" s="79"/>
      <c r="C51" s="99"/>
      <c r="D51" s="30" t="s">
        <v>158</v>
      </c>
      <c r="E51" s="31" t="s">
        <v>6</v>
      </c>
      <c r="F51" s="12">
        <v>114</v>
      </c>
      <c r="G51" s="12">
        <v>25</v>
      </c>
      <c r="H51" s="14">
        <v>0</v>
      </c>
      <c r="I51" s="12">
        <v>6</v>
      </c>
      <c r="J51" s="14">
        <v>0</v>
      </c>
    </row>
    <row r="52" spans="1:15" x14ac:dyDescent="0.35">
      <c r="A52" s="79"/>
      <c r="B52" s="79"/>
      <c r="C52" s="99"/>
      <c r="D52" s="30" t="s">
        <v>158</v>
      </c>
      <c r="E52" s="31" t="s">
        <v>7</v>
      </c>
      <c r="F52" s="12">
        <v>130</v>
      </c>
      <c r="G52" s="12">
        <v>16</v>
      </c>
      <c r="H52" s="12">
        <v>5</v>
      </c>
      <c r="I52" s="12">
        <v>4</v>
      </c>
      <c r="J52" s="14">
        <v>2</v>
      </c>
    </row>
    <row r="53" spans="1:15" x14ac:dyDescent="0.35">
      <c r="A53" s="79"/>
      <c r="B53" s="79"/>
      <c r="C53" s="99"/>
      <c r="D53" s="30" t="s">
        <v>160</v>
      </c>
      <c r="E53" s="31" t="s">
        <v>6</v>
      </c>
      <c r="F53" s="12">
        <v>266</v>
      </c>
      <c r="G53" s="12">
        <v>21</v>
      </c>
      <c r="H53" s="12">
        <v>10</v>
      </c>
      <c r="I53" s="12">
        <v>9</v>
      </c>
      <c r="J53" s="14">
        <v>2</v>
      </c>
      <c r="K53" s="2">
        <f>SUM(F49:F53)</f>
        <v>759</v>
      </c>
      <c r="L53" s="2">
        <f t="shared" ref="L53:O53" si="5">SUM(G49:G53)</f>
        <v>146</v>
      </c>
      <c r="M53" s="2">
        <f t="shared" si="5"/>
        <v>32</v>
      </c>
      <c r="N53" s="2">
        <f t="shared" si="5"/>
        <v>29</v>
      </c>
      <c r="O53" s="2">
        <f t="shared" si="5"/>
        <v>5</v>
      </c>
    </row>
    <row r="54" spans="1:15" x14ac:dyDescent="0.35">
      <c r="A54" s="126" t="s">
        <v>388</v>
      </c>
      <c r="B54" s="126" t="s">
        <v>389</v>
      </c>
      <c r="C54" s="127">
        <v>3047</v>
      </c>
      <c r="D54" s="30" t="s">
        <v>159</v>
      </c>
      <c r="E54" s="31" t="s">
        <v>17</v>
      </c>
      <c r="F54" s="21">
        <v>22</v>
      </c>
      <c r="G54" s="21">
        <v>7</v>
      </c>
      <c r="H54" s="21">
        <v>4</v>
      </c>
      <c r="I54" s="21">
        <v>0</v>
      </c>
      <c r="J54" s="26">
        <v>0</v>
      </c>
    </row>
    <row r="55" spans="1:15" x14ac:dyDescent="0.35">
      <c r="A55" s="123"/>
      <c r="B55" s="123"/>
      <c r="C55" s="124"/>
      <c r="D55" s="30" t="s">
        <v>159</v>
      </c>
      <c r="E55" s="31" t="s">
        <v>2</v>
      </c>
      <c r="F55" s="21">
        <v>65</v>
      </c>
      <c r="G55" s="21">
        <v>23</v>
      </c>
      <c r="H55" s="26">
        <v>0</v>
      </c>
      <c r="I55" s="21">
        <v>1</v>
      </c>
      <c r="J55" s="26">
        <v>0</v>
      </c>
    </row>
    <row r="56" spans="1:15" x14ac:dyDescent="0.35">
      <c r="A56" s="123"/>
      <c r="B56" s="123"/>
      <c r="C56" s="124"/>
      <c r="D56" s="30" t="s">
        <v>159</v>
      </c>
      <c r="E56" s="31" t="s">
        <v>3</v>
      </c>
      <c r="F56" s="21">
        <v>48</v>
      </c>
      <c r="G56" s="21">
        <v>14</v>
      </c>
      <c r="H56" s="21">
        <v>7</v>
      </c>
      <c r="I56" s="21">
        <v>0</v>
      </c>
      <c r="J56" s="26">
        <v>0</v>
      </c>
    </row>
    <row r="57" spans="1:15" x14ac:dyDescent="0.35">
      <c r="A57" s="123"/>
      <c r="B57" s="123"/>
      <c r="C57" s="124"/>
      <c r="D57" s="30" t="s">
        <v>159</v>
      </c>
      <c r="E57" s="31" t="s">
        <v>4</v>
      </c>
      <c r="F57" s="21">
        <v>70</v>
      </c>
      <c r="G57" s="21">
        <v>14</v>
      </c>
      <c r="H57" s="21">
        <v>1</v>
      </c>
      <c r="I57" s="21">
        <v>4</v>
      </c>
      <c r="J57" s="26">
        <v>2</v>
      </c>
    </row>
    <row r="58" spans="1:15" x14ac:dyDescent="0.35">
      <c r="A58" s="123"/>
      <c r="B58" s="123"/>
      <c r="C58" s="124"/>
      <c r="D58" s="30" t="s">
        <v>159</v>
      </c>
      <c r="E58" s="31" t="s">
        <v>5</v>
      </c>
      <c r="F58" s="21">
        <v>92</v>
      </c>
      <c r="G58" s="21">
        <v>6</v>
      </c>
      <c r="H58" s="21">
        <v>8</v>
      </c>
      <c r="I58" s="21">
        <v>1</v>
      </c>
      <c r="J58" s="26">
        <v>0</v>
      </c>
    </row>
    <row r="59" spans="1:15" x14ac:dyDescent="0.35">
      <c r="A59" s="123"/>
      <c r="B59" s="123"/>
      <c r="C59" s="124"/>
      <c r="D59" s="30" t="s">
        <v>159</v>
      </c>
      <c r="E59" s="31" t="s">
        <v>6</v>
      </c>
      <c r="F59" s="21">
        <v>74</v>
      </c>
      <c r="G59" s="21">
        <v>13</v>
      </c>
      <c r="H59" s="21">
        <v>8</v>
      </c>
      <c r="I59" s="21">
        <v>4</v>
      </c>
      <c r="J59" s="26">
        <v>0</v>
      </c>
    </row>
    <row r="60" spans="1:15" x14ac:dyDescent="0.35">
      <c r="A60" s="123"/>
      <c r="B60" s="123"/>
      <c r="C60" s="124"/>
      <c r="D60" s="30" t="s">
        <v>159</v>
      </c>
      <c r="E60" s="31" t="s">
        <v>7</v>
      </c>
      <c r="F60" s="21">
        <v>165</v>
      </c>
      <c r="G60" s="21">
        <v>32</v>
      </c>
      <c r="H60" s="21">
        <v>17</v>
      </c>
      <c r="I60" s="21">
        <v>4</v>
      </c>
      <c r="J60" s="26">
        <v>2</v>
      </c>
    </row>
    <row r="61" spans="1:15" x14ac:dyDescent="0.35">
      <c r="A61" s="123"/>
      <c r="B61" s="123"/>
      <c r="C61" s="124"/>
      <c r="D61" s="30" t="s">
        <v>159</v>
      </c>
      <c r="E61" s="31" t="s">
        <v>8</v>
      </c>
      <c r="F61" s="21">
        <v>133</v>
      </c>
      <c r="G61" s="21">
        <v>24</v>
      </c>
      <c r="H61" s="21">
        <v>12</v>
      </c>
      <c r="I61" s="21">
        <v>6</v>
      </c>
      <c r="J61" s="26">
        <v>0</v>
      </c>
    </row>
    <row r="62" spans="1:15" x14ac:dyDescent="0.35">
      <c r="A62" s="123"/>
      <c r="B62" s="123"/>
      <c r="C62" s="124"/>
      <c r="D62" s="30" t="s">
        <v>159</v>
      </c>
      <c r="E62" s="31" t="s">
        <v>9</v>
      </c>
      <c r="F62" s="21">
        <v>135</v>
      </c>
      <c r="G62" s="21">
        <v>14</v>
      </c>
      <c r="H62" s="21">
        <v>3</v>
      </c>
      <c r="I62" s="21">
        <v>3</v>
      </c>
      <c r="J62" s="26">
        <v>2</v>
      </c>
      <c r="K62" s="2">
        <f>SUM(F54:F62)</f>
        <v>804</v>
      </c>
      <c r="L62" s="2">
        <f t="shared" ref="L62:O62" si="6">SUM(G54:G62)</f>
        <v>147</v>
      </c>
      <c r="M62" s="2">
        <f t="shared" si="6"/>
        <v>60</v>
      </c>
      <c r="N62" s="2">
        <f t="shared" si="6"/>
        <v>23</v>
      </c>
      <c r="O62" s="2">
        <f t="shared" si="6"/>
        <v>6</v>
      </c>
    </row>
    <row r="63" spans="1:15" x14ac:dyDescent="0.35">
      <c r="A63" s="71" t="s">
        <v>631</v>
      </c>
      <c r="B63" s="71" t="s">
        <v>632</v>
      </c>
      <c r="C63" s="125">
        <v>2400</v>
      </c>
      <c r="D63" s="30" t="s">
        <v>160</v>
      </c>
      <c r="E63" s="31" t="s">
        <v>2</v>
      </c>
      <c r="F63" s="25">
        <v>64</v>
      </c>
      <c r="G63" s="25">
        <v>62</v>
      </c>
      <c r="H63" s="25">
        <v>0</v>
      </c>
      <c r="I63" s="25">
        <v>2</v>
      </c>
      <c r="J63" s="27">
        <v>0</v>
      </c>
    </row>
    <row r="64" spans="1:15" x14ac:dyDescent="0.35">
      <c r="A64" s="72"/>
      <c r="B64" s="72"/>
      <c r="C64" s="102"/>
      <c r="D64" s="30" t="s">
        <v>160</v>
      </c>
      <c r="E64" s="31" t="s">
        <v>7</v>
      </c>
      <c r="F64" s="25">
        <v>180</v>
      </c>
      <c r="G64" s="25">
        <v>54</v>
      </c>
      <c r="H64" s="25">
        <v>7</v>
      </c>
      <c r="I64" s="25">
        <v>5</v>
      </c>
      <c r="J64" s="27">
        <v>1</v>
      </c>
    </row>
    <row r="65" spans="1:15" x14ac:dyDescent="0.35">
      <c r="A65" s="72"/>
      <c r="B65" s="72"/>
      <c r="C65" s="102"/>
      <c r="D65" s="30" t="s">
        <v>159</v>
      </c>
      <c r="E65" s="31" t="s">
        <v>11</v>
      </c>
      <c r="F65" s="13">
        <v>83</v>
      </c>
      <c r="G65" s="13">
        <v>9</v>
      </c>
      <c r="H65" s="15">
        <v>0</v>
      </c>
      <c r="I65" s="15">
        <v>0</v>
      </c>
      <c r="J65" s="15">
        <v>1</v>
      </c>
    </row>
    <row r="66" spans="1:15" x14ac:dyDescent="0.35">
      <c r="A66" s="72"/>
      <c r="B66" s="72"/>
      <c r="C66" s="102"/>
      <c r="D66" s="30" t="s">
        <v>157</v>
      </c>
      <c r="E66" s="31" t="s">
        <v>4</v>
      </c>
      <c r="F66" s="13">
        <v>205</v>
      </c>
      <c r="G66" s="13">
        <v>40</v>
      </c>
      <c r="H66" s="13">
        <v>1</v>
      </c>
      <c r="I66" s="13">
        <v>3</v>
      </c>
      <c r="J66" s="13">
        <v>0</v>
      </c>
    </row>
    <row r="67" spans="1:15" x14ac:dyDescent="0.35">
      <c r="A67" s="72"/>
      <c r="B67" s="72"/>
      <c r="C67" s="102"/>
      <c r="D67" s="30" t="s">
        <v>157</v>
      </c>
      <c r="E67" s="31" t="s">
        <v>5</v>
      </c>
      <c r="F67" s="13">
        <v>227</v>
      </c>
      <c r="G67" s="13">
        <v>33</v>
      </c>
      <c r="H67" s="13">
        <v>2</v>
      </c>
      <c r="I67" s="13">
        <v>3</v>
      </c>
      <c r="J67" s="15">
        <v>0</v>
      </c>
      <c r="K67" s="2">
        <f>SUM(F63:F67)</f>
        <v>759</v>
      </c>
      <c r="L67" s="2">
        <f t="shared" ref="L67:O67" si="7">SUM(G63:G67)</f>
        <v>198</v>
      </c>
      <c r="M67" s="2">
        <f t="shared" si="7"/>
        <v>10</v>
      </c>
      <c r="N67" s="2">
        <f t="shared" si="7"/>
        <v>13</v>
      </c>
      <c r="O67" s="2">
        <f t="shared" si="7"/>
        <v>2</v>
      </c>
    </row>
    <row r="68" spans="1:15" x14ac:dyDescent="0.35">
      <c r="A68" s="119"/>
      <c r="B68" s="119" t="s">
        <v>721</v>
      </c>
      <c r="C68" s="120">
        <f>SUM(C5:C63)</f>
        <v>26689</v>
      </c>
      <c r="D68" s="348" t="s">
        <v>229</v>
      </c>
      <c r="E68" s="348"/>
      <c r="F68" s="32">
        <f>SUM(F5:F67)</f>
        <v>8231</v>
      </c>
      <c r="G68" s="32">
        <f>SUM(G5:G67)</f>
        <v>1874</v>
      </c>
      <c r="H68" s="32">
        <f>SUM(H5:H67)</f>
        <v>260</v>
      </c>
      <c r="I68" s="32">
        <f>SUM(I5:I67)</f>
        <v>262</v>
      </c>
      <c r="J68" s="32">
        <f>SUM(J5:J67)</f>
        <v>65</v>
      </c>
    </row>
    <row r="69" spans="1:15" x14ac:dyDescent="0.35">
      <c r="A69" s="347" t="s">
        <v>738</v>
      </c>
      <c r="B69" s="347"/>
      <c r="C69" s="120">
        <f>SUM(C68,F68,G68,H68,I68,J68)</f>
        <v>37381</v>
      </c>
    </row>
  </sheetData>
  <mergeCells count="7">
    <mergeCell ref="A69:B69"/>
    <mergeCell ref="D68:E68"/>
    <mergeCell ref="D1:J1"/>
    <mergeCell ref="D2:J2"/>
    <mergeCell ref="A1:C1"/>
    <mergeCell ref="A2:C2"/>
    <mergeCell ref="F3:J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6"/>
  <sheetViews>
    <sheetView workbookViewId="0">
      <selection sqref="A1:C1"/>
    </sheetView>
  </sheetViews>
  <sheetFormatPr defaultRowHeight="21" x14ac:dyDescent="0.35"/>
  <cols>
    <col min="1" max="1" width="11.85546875" style="2" customWidth="1"/>
    <col min="2" max="2" width="21.28515625" style="2" customWidth="1"/>
    <col min="3" max="3" width="18" style="94" customWidth="1"/>
    <col min="4" max="4" width="13.7109375" style="2" customWidth="1"/>
    <col min="5" max="5" width="9.140625" style="22"/>
    <col min="6" max="6" width="12.140625" style="22" customWidth="1"/>
    <col min="7" max="7" width="10.42578125" style="22" customWidth="1"/>
    <col min="8" max="8" width="9.140625" style="22"/>
    <col min="9" max="9" width="18.85546875" style="22" customWidth="1"/>
    <col min="10" max="10" width="14" style="22" customWidth="1"/>
    <col min="11" max="16384" width="9.140625" style="2"/>
  </cols>
  <sheetData>
    <row r="1" spans="1:16" x14ac:dyDescent="0.35">
      <c r="A1" s="334" t="s">
        <v>739</v>
      </c>
      <c r="B1" s="334"/>
      <c r="C1" s="334"/>
      <c r="D1" s="349" t="s">
        <v>237</v>
      </c>
      <c r="E1" s="350"/>
      <c r="F1" s="350"/>
      <c r="G1" s="350"/>
      <c r="H1" s="350"/>
      <c r="I1" s="350"/>
      <c r="J1" s="350"/>
    </row>
    <row r="2" spans="1:16" x14ac:dyDescent="0.35">
      <c r="A2" s="334" t="s">
        <v>861</v>
      </c>
      <c r="B2" s="334"/>
      <c r="C2" s="334"/>
      <c r="D2" s="351" t="s">
        <v>862</v>
      </c>
      <c r="E2" s="349"/>
      <c r="F2" s="349"/>
      <c r="G2" s="349"/>
      <c r="H2" s="349"/>
      <c r="I2" s="349"/>
      <c r="J2" s="349"/>
    </row>
    <row r="3" spans="1:16" x14ac:dyDescent="0.35">
      <c r="A3" s="90"/>
      <c r="B3" s="90"/>
      <c r="C3" s="109"/>
      <c r="D3" s="42"/>
      <c r="E3" s="42"/>
      <c r="F3" s="355" t="s">
        <v>716</v>
      </c>
      <c r="G3" s="355"/>
      <c r="H3" s="355"/>
      <c r="I3" s="355"/>
      <c r="J3" s="355"/>
    </row>
    <row r="4" spans="1:16" x14ac:dyDescent="0.35">
      <c r="A4" s="128" t="s">
        <v>714</v>
      </c>
      <c r="B4" s="128" t="s">
        <v>254</v>
      </c>
      <c r="C4" s="76" t="s">
        <v>715</v>
      </c>
      <c r="D4" s="33" t="s">
        <v>223</v>
      </c>
      <c r="E4" s="35" t="s">
        <v>222</v>
      </c>
      <c r="F4" s="35" t="s">
        <v>218</v>
      </c>
      <c r="G4" s="35" t="s">
        <v>219</v>
      </c>
      <c r="H4" s="35" t="s">
        <v>220</v>
      </c>
      <c r="I4" s="35" t="s">
        <v>236</v>
      </c>
      <c r="J4" s="35" t="s">
        <v>221</v>
      </c>
    </row>
    <row r="5" spans="1:16" x14ac:dyDescent="0.35">
      <c r="A5" s="93" t="s">
        <v>637</v>
      </c>
      <c r="B5" s="93" t="s">
        <v>638</v>
      </c>
      <c r="C5" s="113">
        <v>3035</v>
      </c>
      <c r="D5" s="34" t="s">
        <v>163</v>
      </c>
      <c r="E5" s="36" t="s">
        <v>17</v>
      </c>
      <c r="F5" s="37">
        <v>221</v>
      </c>
      <c r="G5" s="37">
        <v>29</v>
      </c>
      <c r="H5" s="37">
        <v>5</v>
      </c>
      <c r="I5" s="37">
        <v>12</v>
      </c>
      <c r="J5" s="37">
        <v>2</v>
      </c>
    </row>
    <row r="6" spans="1:16" x14ac:dyDescent="0.35">
      <c r="A6" s="74"/>
      <c r="B6" s="74"/>
      <c r="C6" s="130"/>
      <c r="D6" s="34" t="s">
        <v>163</v>
      </c>
      <c r="E6" s="36" t="s">
        <v>2</v>
      </c>
      <c r="F6" s="37">
        <v>162</v>
      </c>
      <c r="G6" s="37">
        <v>36</v>
      </c>
      <c r="H6" s="37">
        <v>3</v>
      </c>
      <c r="I6" s="37">
        <v>5</v>
      </c>
      <c r="J6" s="38">
        <v>0</v>
      </c>
    </row>
    <row r="7" spans="1:16" x14ac:dyDescent="0.35">
      <c r="A7" s="74"/>
      <c r="B7" s="74"/>
      <c r="C7" s="130"/>
      <c r="D7" s="34" t="s">
        <v>163</v>
      </c>
      <c r="E7" s="36" t="s">
        <v>3</v>
      </c>
      <c r="F7" s="37">
        <v>172</v>
      </c>
      <c r="G7" s="37">
        <v>40</v>
      </c>
      <c r="H7" s="37">
        <v>10</v>
      </c>
      <c r="I7" s="37">
        <v>5</v>
      </c>
      <c r="J7" s="38">
        <v>3</v>
      </c>
    </row>
    <row r="8" spans="1:16" x14ac:dyDescent="0.35">
      <c r="A8" s="74"/>
      <c r="B8" s="74"/>
      <c r="C8" s="130"/>
      <c r="D8" s="34" t="s">
        <v>163</v>
      </c>
      <c r="E8" s="36" t="s">
        <v>4</v>
      </c>
      <c r="F8" s="37">
        <v>101</v>
      </c>
      <c r="G8" s="37">
        <v>14</v>
      </c>
      <c r="H8" s="37">
        <v>5</v>
      </c>
      <c r="I8" s="37">
        <v>4</v>
      </c>
      <c r="J8" s="38">
        <v>1</v>
      </c>
    </row>
    <row r="9" spans="1:16" x14ac:dyDescent="0.35">
      <c r="A9" s="74"/>
      <c r="B9" s="74"/>
      <c r="C9" s="130"/>
      <c r="D9" s="34" t="s">
        <v>163</v>
      </c>
      <c r="E9" s="36" t="s">
        <v>5</v>
      </c>
      <c r="F9" s="37">
        <v>132</v>
      </c>
      <c r="G9" s="37">
        <v>11</v>
      </c>
      <c r="H9" s="38">
        <v>0</v>
      </c>
      <c r="I9" s="37">
        <v>1</v>
      </c>
      <c r="J9" s="37">
        <v>1</v>
      </c>
    </row>
    <row r="10" spans="1:16" x14ac:dyDescent="0.35">
      <c r="A10" s="74"/>
      <c r="B10" s="74"/>
      <c r="C10" s="130"/>
      <c r="D10" s="34" t="s">
        <v>163</v>
      </c>
      <c r="E10" s="36" t="s">
        <v>6</v>
      </c>
      <c r="F10" s="37">
        <v>184</v>
      </c>
      <c r="G10" s="37">
        <v>33</v>
      </c>
      <c r="H10" s="37">
        <v>6</v>
      </c>
      <c r="I10" s="37">
        <v>7</v>
      </c>
      <c r="J10" s="38">
        <v>2</v>
      </c>
    </row>
    <row r="11" spans="1:16" x14ac:dyDescent="0.35">
      <c r="A11" s="74"/>
      <c r="B11" s="74"/>
      <c r="C11" s="130"/>
      <c r="D11" s="34" t="s">
        <v>163</v>
      </c>
      <c r="E11" s="36" t="s">
        <v>7</v>
      </c>
      <c r="F11" s="37">
        <v>106</v>
      </c>
      <c r="G11" s="37">
        <v>11</v>
      </c>
      <c r="H11" s="38">
        <v>0</v>
      </c>
      <c r="I11" s="38">
        <v>0</v>
      </c>
      <c r="J11" s="38">
        <v>1</v>
      </c>
    </row>
    <row r="12" spans="1:16" x14ac:dyDescent="0.35">
      <c r="A12" s="74"/>
      <c r="B12" s="74"/>
      <c r="C12" s="130"/>
      <c r="D12" s="34" t="s">
        <v>163</v>
      </c>
      <c r="E12" s="36" t="s">
        <v>8</v>
      </c>
      <c r="F12" s="37">
        <v>317</v>
      </c>
      <c r="G12" s="37">
        <v>217</v>
      </c>
      <c r="H12" s="37">
        <v>6</v>
      </c>
      <c r="I12" s="37">
        <v>26</v>
      </c>
      <c r="J12" s="37">
        <v>1</v>
      </c>
      <c r="K12" s="2">
        <f>SUM(F5:F12)</f>
        <v>1395</v>
      </c>
      <c r="L12" s="2">
        <f t="shared" ref="L12:O12" si="0">SUM(G5:G12)</f>
        <v>391</v>
      </c>
      <c r="M12" s="2">
        <f t="shared" si="0"/>
        <v>35</v>
      </c>
      <c r="N12" s="2">
        <f t="shared" si="0"/>
        <v>60</v>
      </c>
      <c r="O12" s="2">
        <f t="shared" si="0"/>
        <v>11</v>
      </c>
    </row>
    <row r="13" spans="1:16" x14ac:dyDescent="0.35">
      <c r="A13" s="92" t="s">
        <v>639</v>
      </c>
      <c r="B13" s="92" t="s">
        <v>640</v>
      </c>
      <c r="C13" s="103">
        <v>7462</v>
      </c>
      <c r="D13" s="34" t="s">
        <v>161</v>
      </c>
      <c r="E13" s="36" t="s">
        <v>17</v>
      </c>
      <c r="F13" s="37">
        <v>304</v>
      </c>
      <c r="G13" s="37">
        <v>27</v>
      </c>
      <c r="H13" s="37">
        <v>8</v>
      </c>
      <c r="I13" s="38">
        <v>4</v>
      </c>
      <c r="J13" s="38">
        <v>2</v>
      </c>
    </row>
    <row r="14" spans="1:16" x14ac:dyDescent="0.35">
      <c r="A14" s="60"/>
      <c r="B14" s="60"/>
      <c r="C14" s="104"/>
      <c r="D14" s="34" t="s">
        <v>161</v>
      </c>
      <c r="E14" s="36" t="s">
        <v>2</v>
      </c>
      <c r="F14" s="37">
        <v>291</v>
      </c>
      <c r="G14" s="37">
        <v>30</v>
      </c>
      <c r="H14" s="37">
        <v>5</v>
      </c>
      <c r="I14" s="37">
        <v>9</v>
      </c>
      <c r="J14" s="38">
        <v>3</v>
      </c>
      <c r="P14" s="77"/>
    </row>
    <row r="15" spans="1:16" x14ac:dyDescent="0.35">
      <c r="A15" s="60"/>
      <c r="B15" s="60"/>
      <c r="C15" s="104"/>
      <c r="D15" s="34" t="s">
        <v>161</v>
      </c>
      <c r="E15" s="36" t="s">
        <v>3</v>
      </c>
      <c r="F15" s="37">
        <v>356</v>
      </c>
      <c r="G15" s="37">
        <v>48</v>
      </c>
      <c r="H15" s="37">
        <v>15</v>
      </c>
      <c r="I15" s="37">
        <v>8</v>
      </c>
      <c r="J15" s="38">
        <v>2</v>
      </c>
    </row>
    <row r="16" spans="1:16" x14ac:dyDescent="0.35">
      <c r="A16" s="60"/>
      <c r="B16" s="60"/>
      <c r="C16" s="104"/>
      <c r="D16" s="34" t="s">
        <v>161</v>
      </c>
      <c r="E16" s="36" t="s">
        <v>4</v>
      </c>
      <c r="F16" s="37">
        <v>377</v>
      </c>
      <c r="G16" s="37">
        <v>170</v>
      </c>
      <c r="H16" s="37">
        <v>8</v>
      </c>
      <c r="I16" s="37">
        <v>20</v>
      </c>
      <c r="J16" s="38">
        <v>3</v>
      </c>
    </row>
    <row r="17" spans="1:15" x14ac:dyDescent="0.35">
      <c r="A17" s="60"/>
      <c r="B17" s="60"/>
      <c r="C17" s="104"/>
      <c r="D17" s="34" t="s">
        <v>161</v>
      </c>
      <c r="E17" s="36" t="s">
        <v>5</v>
      </c>
      <c r="F17" s="37">
        <v>373</v>
      </c>
      <c r="G17" s="37">
        <v>116</v>
      </c>
      <c r="H17" s="37">
        <v>15</v>
      </c>
      <c r="I17" s="37">
        <v>19</v>
      </c>
      <c r="J17" s="38">
        <v>6</v>
      </c>
    </row>
    <row r="18" spans="1:15" x14ac:dyDescent="0.35">
      <c r="A18" s="60"/>
      <c r="B18" s="60"/>
      <c r="C18" s="104"/>
      <c r="D18" s="34" t="s">
        <v>161</v>
      </c>
      <c r="E18" s="36" t="s">
        <v>6</v>
      </c>
      <c r="F18" s="37">
        <v>569</v>
      </c>
      <c r="G18" s="37">
        <v>116</v>
      </c>
      <c r="H18" s="37">
        <v>6</v>
      </c>
      <c r="I18" s="37">
        <v>15</v>
      </c>
      <c r="J18" s="37">
        <v>2</v>
      </c>
    </row>
    <row r="19" spans="1:15" x14ac:dyDescent="0.35">
      <c r="A19" s="60"/>
      <c r="B19" s="60"/>
      <c r="C19" s="104"/>
      <c r="D19" s="34" t="s">
        <v>161</v>
      </c>
      <c r="E19" s="36" t="s">
        <v>7</v>
      </c>
      <c r="F19" s="37">
        <v>577</v>
      </c>
      <c r="G19" s="37">
        <v>95</v>
      </c>
      <c r="H19" s="37">
        <v>9</v>
      </c>
      <c r="I19" s="37">
        <v>18</v>
      </c>
      <c r="J19" s="37">
        <v>5</v>
      </c>
    </row>
    <row r="20" spans="1:15" x14ac:dyDescent="0.35">
      <c r="A20" s="60"/>
      <c r="B20" s="60"/>
      <c r="C20" s="104"/>
      <c r="D20" s="34" t="s">
        <v>161</v>
      </c>
      <c r="E20" s="36" t="s">
        <v>8</v>
      </c>
      <c r="F20" s="37">
        <v>177</v>
      </c>
      <c r="G20" s="37">
        <v>28</v>
      </c>
      <c r="H20" s="37">
        <v>4</v>
      </c>
      <c r="I20" s="37">
        <v>3</v>
      </c>
      <c r="J20" s="38">
        <v>0</v>
      </c>
    </row>
    <row r="21" spans="1:15" x14ac:dyDescent="0.35">
      <c r="A21" s="60"/>
      <c r="B21" s="60"/>
      <c r="C21" s="104"/>
      <c r="D21" s="34" t="s">
        <v>161</v>
      </c>
      <c r="E21" s="36" t="s">
        <v>9</v>
      </c>
      <c r="F21" s="37">
        <v>85</v>
      </c>
      <c r="G21" s="37">
        <v>16</v>
      </c>
      <c r="H21" s="38">
        <v>0</v>
      </c>
      <c r="I21" s="37">
        <v>3</v>
      </c>
      <c r="J21" s="38">
        <v>0</v>
      </c>
    </row>
    <row r="22" spans="1:15" x14ac:dyDescent="0.35">
      <c r="A22" s="60"/>
      <c r="B22" s="60"/>
      <c r="C22" s="104"/>
      <c r="D22" s="34" t="s">
        <v>161</v>
      </c>
      <c r="E22" s="36" t="s">
        <v>11</v>
      </c>
      <c r="F22" s="37">
        <v>187</v>
      </c>
      <c r="G22" s="37">
        <v>14</v>
      </c>
      <c r="H22" s="37">
        <v>5</v>
      </c>
      <c r="I22" s="37">
        <v>4</v>
      </c>
      <c r="J22" s="38">
        <v>0</v>
      </c>
    </row>
    <row r="23" spans="1:15" x14ac:dyDescent="0.35">
      <c r="A23" s="60"/>
      <c r="B23" s="60"/>
      <c r="C23" s="104"/>
      <c r="D23" s="34" t="s">
        <v>161</v>
      </c>
      <c r="E23" s="36" t="s">
        <v>12</v>
      </c>
      <c r="F23" s="37">
        <v>35</v>
      </c>
      <c r="G23" s="37">
        <v>10</v>
      </c>
      <c r="H23" s="37">
        <v>1</v>
      </c>
      <c r="I23" s="37">
        <v>2</v>
      </c>
      <c r="J23" s="38">
        <v>0</v>
      </c>
    </row>
    <row r="24" spans="1:15" x14ac:dyDescent="0.35">
      <c r="A24" s="60"/>
      <c r="B24" s="60"/>
      <c r="C24" s="104"/>
      <c r="D24" s="34" t="s">
        <v>161</v>
      </c>
      <c r="E24" s="36" t="s">
        <v>13</v>
      </c>
      <c r="F24" s="37">
        <v>765</v>
      </c>
      <c r="G24" s="37">
        <v>154</v>
      </c>
      <c r="H24" s="37">
        <v>8</v>
      </c>
      <c r="I24" s="37">
        <v>39</v>
      </c>
      <c r="J24" s="38">
        <v>2</v>
      </c>
    </row>
    <row r="25" spans="1:15" x14ac:dyDescent="0.35">
      <c r="A25" s="60"/>
      <c r="B25" s="60"/>
      <c r="C25" s="104"/>
      <c r="D25" s="34" t="s">
        <v>161</v>
      </c>
      <c r="E25" s="36" t="s">
        <v>21</v>
      </c>
      <c r="F25" s="37">
        <v>181</v>
      </c>
      <c r="G25" s="37">
        <v>9</v>
      </c>
      <c r="H25" s="37">
        <v>2</v>
      </c>
      <c r="I25" s="37">
        <v>4</v>
      </c>
      <c r="J25" s="38">
        <v>1</v>
      </c>
      <c r="K25" s="2">
        <f>SUM(F13:F25)</f>
        <v>4277</v>
      </c>
      <c r="L25" s="2">
        <f t="shared" ref="L25:O25" si="1">SUM(G13:G25)</f>
        <v>833</v>
      </c>
      <c r="M25" s="2">
        <f t="shared" si="1"/>
        <v>86</v>
      </c>
      <c r="N25" s="2">
        <f t="shared" si="1"/>
        <v>148</v>
      </c>
      <c r="O25" s="2">
        <f t="shared" si="1"/>
        <v>26</v>
      </c>
    </row>
    <row r="26" spans="1:15" x14ac:dyDescent="0.35">
      <c r="A26" s="93" t="s">
        <v>545</v>
      </c>
      <c r="B26" s="93" t="s">
        <v>546</v>
      </c>
      <c r="C26" s="113">
        <v>5016</v>
      </c>
      <c r="D26" s="34" t="s">
        <v>162</v>
      </c>
      <c r="E26" s="36" t="s">
        <v>17</v>
      </c>
      <c r="F26" s="39">
        <v>113</v>
      </c>
      <c r="G26" s="39">
        <v>27</v>
      </c>
      <c r="H26" s="39">
        <v>2</v>
      </c>
      <c r="I26" s="39">
        <v>3</v>
      </c>
      <c r="J26" s="40">
        <v>1</v>
      </c>
    </row>
    <row r="27" spans="1:15" x14ac:dyDescent="0.35">
      <c r="A27" s="74"/>
      <c r="B27" s="74"/>
      <c r="C27" s="130"/>
      <c r="D27" s="34" t="s">
        <v>162</v>
      </c>
      <c r="E27" s="36" t="s">
        <v>2</v>
      </c>
      <c r="F27" s="39">
        <v>182</v>
      </c>
      <c r="G27" s="39">
        <v>36</v>
      </c>
      <c r="H27" s="40">
        <v>0</v>
      </c>
      <c r="I27" s="39">
        <v>3</v>
      </c>
      <c r="J27" s="40">
        <v>0</v>
      </c>
    </row>
    <row r="28" spans="1:15" x14ac:dyDescent="0.35">
      <c r="A28" s="74"/>
      <c r="B28" s="74"/>
      <c r="C28" s="130"/>
      <c r="D28" s="34" t="s">
        <v>162</v>
      </c>
      <c r="E28" s="36" t="s">
        <v>3</v>
      </c>
      <c r="F28" s="39">
        <v>87</v>
      </c>
      <c r="G28" s="39">
        <v>16</v>
      </c>
      <c r="H28" s="40">
        <v>0</v>
      </c>
      <c r="I28" s="39">
        <v>3</v>
      </c>
      <c r="J28" s="40">
        <v>0</v>
      </c>
    </row>
    <row r="29" spans="1:15" x14ac:dyDescent="0.35">
      <c r="A29" s="74"/>
      <c r="B29" s="74"/>
      <c r="C29" s="130"/>
      <c r="D29" s="34" t="s">
        <v>162</v>
      </c>
      <c r="E29" s="36" t="s">
        <v>4</v>
      </c>
      <c r="F29" s="39">
        <v>167</v>
      </c>
      <c r="G29" s="39">
        <v>25</v>
      </c>
      <c r="H29" s="40">
        <v>0</v>
      </c>
      <c r="I29" s="39">
        <v>7</v>
      </c>
      <c r="J29" s="40">
        <v>0</v>
      </c>
    </row>
    <row r="30" spans="1:15" x14ac:dyDescent="0.35">
      <c r="A30" s="74"/>
      <c r="B30" s="74"/>
      <c r="C30" s="130"/>
      <c r="D30" s="34" t="s">
        <v>162</v>
      </c>
      <c r="E30" s="36" t="s">
        <v>5</v>
      </c>
      <c r="F30" s="39">
        <v>499</v>
      </c>
      <c r="G30" s="39">
        <v>53</v>
      </c>
      <c r="H30" s="39">
        <v>2</v>
      </c>
      <c r="I30" s="39">
        <v>15</v>
      </c>
      <c r="J30" s="40">
        <v>4</v>
      </c>
    </row>
    <row r="31" spans="1:15" x14ac:dyDescent="0.35">
      <c r="A31" s="74"/>
      <c r="B31" s="74"/>
      <c r="C31" s="130"/>
      <c r="D31" s="34" t="s">
        <v>162</v>
      </c>
      <c r="E31" s="36" t="s">
        <v>6</v>
      </c>
      <c r="F31" s="39">
        <v>94</v>
      </c>
      <c r="G31" s="39">
        <v>13</v>
      </c>
      <c r="H31" s="40">
        <v>0</v>
      </c>
      <c r="I31" s="39">
        <v>1</v>
      </c>
      <c r="J31" s="40">
        <v>0</v>
      </c>
    </row>
    <row r="32" spans="1:15" x14ac:dyDescent="0.35">
      <c r="A32" s="74"/>
      <c r="B32" s="74"/>
      <c r="C32" s="130"/>
      <c r="D32" s="34" t="s">
        <v>162</v>
      </c>
      <c r="E32" s="36" t="s">
        <v>7</v>
      </c>
      <c r="F32" s="39">
        <v>82</v>
      </c>
      <c r="G32" s="39">
        <v>28</v>
      </c>
      <c r="H32" s="40">
        <v>0</v>
      </c>
      <c r="I32" s="39">
        <v>2</v>
      </c>
      <c r="J32" s="40">
        <v>0</v>
      </c>
    </row>
    <row r="33" spans="1:15" x14ac:dyDescent="0.35">
      <c r="A33" s="74"/>
      <c r="B33" s="74"/>
      <c r="C33" s="130"/>
      <c r="D33" s="34" t="s">
        <v>162</v>
      </c>
      <c r="E33" s="36" t="s">
        <v>8</v>
      </c>
      <c r="F33" s="39">
        <v>183</v>
      </c>
      <c r="G33" s="39">
        <v>17</v>
      </c>
      <c r="H33" s="39">
        <v>3</v>
      </c>
      <c r="I33" s="39">
        <v>1</v>
      </c>
      <c r="J33" s="40">
        <v>2</v>
      </c>
    </row>
    <row r="34" spans="1:15" x14ac:dyDescent="0.35">
      <c r="A34" s="74"/>
      <c r="B34" s="74"/>
      <c r="C34" s="130"/>
      <c r="D34" s="34" t="s">
        <v>162</v>
      </c>
      <c r="E34" s="36" t="s">
        <v>9</v>
      </c>
      <c r="F34" s="39">
        <v>193</v>
      </c>
      <c r="G34" s="39">
        <v>33</v>
      </c>
      <c r="H34" s="39">
        <v>8</v>
      </c>
      <c r="I34" s="39">
        <v>6</v>
      </c>
      <c r="J34" s="40">
        <v>1</v>
      </c>
    </row>
    <row r="35" spans="1:15" x14ac:dyDescent="0.35">
      <c r="A35" s="74"/>
      <c r="B35" s="74"/>
      <c r="C35" s="130"/>
      <c r="D35" s="34" t="s">
        <v>162</v>
      </c>
      <c r="E35" s="36" t="s">
        <v>11</v>
      </c>
      <c r="F35" s="39">
        <v>246</v>
      </c>
      <c r="G35" s="39">
        <v>26</v>
      </c>
      <c r="H35" s="40">
        <v>0</v>
      </c>
      <c r="I35" s="39">
        <v>4</v>
      </c>
      <c r="J35" s="40">
        <v>5</v>
      </c>
      <c r="K35" s="2">
        <f>SUM(F26:F35)</f>
        <v>1846</v>
      </c>
      <c r="L35" s="2">
        <f t="shared" ref="L35:O35" si="2">SUM(G26:G35)</f>
        <v>274</v>
      </c>
      <c r="M35" s="2">
        <f t="shared" si="2"/>
        <v>15</v>
      </c>
      <c r="N35" s="2">
        <f t="shared" si="2"/>
        <v>45</v>
      </c>
      <c r="O35" s="2">
        <f t="shared" si="2"/>
        <v>13</v>
      </c>
    </row>
    <row r="36" spans="1:15" x14ac:dyDescent="0.35">
      <c r="A36" s="93" t="s">
        <v>635</v>
      </c>
      <c r="B36" s="93" t="s">
        <v>636</v>
      </c>
      <c r="C36" s="113">
        <v>8336</v>
      </c>
      <c r="D36" s="34" t="s">
        <v>164</v>
      </c>
      <c r="E36" s="36" t="s">
        <v>0</v>
      </c>
      <c r="F36" s="39">
        <v>2</v>
      </c>
      <c r="G36" s="39">
        <v>3</v>
      </c>
      <c r="H36" s="40">
        <v>0</v>
      </c>
      <c r="I36" s="39">
        <v>6</v>
      </c>
      <c r="J36" s="39">
        <v>6</v>
      </c>
    </row>
    <row r="37" spans="1:15" x14ac:dyDescent="0.35">
      <c r="A37" s="74"/>
      <c r="B37" s="74"/>
      <c r="C37" s="130"/>
      <c r="D37" s="34" t="s">
        <v>164</v>
      </c>
      <c r="E37" s="36" t="s">
        <v>17</v>
      </c>
      <c r="F37" s="39">
        <v>184</v>
      </c>
      <c r="G37" s="39">
        <v>28</v>
      </c>
      <c r="H37" s="39">
        <v>0</v>
      </c>
      <c r="I37" s="39">
        <v>3</v>
      </c>
      <c r="J37" s="40">
        <v>0</v>
      </c>
    </row>
    <row r="38" spans="1:15" x14ac:dyDescent="0.35">
      <c r="A38" s="74"/>
      <c r="B38" s="74"/>
      <c r="C38" s="130"/>
      <c r="D38" s="34" t="s">
        <v>164</v>
      </c>
      <c r="E38" s="36" t="s">
        <v>2</v>
      </c>
      <c r="F38" s="39">
        <v>405</v>
      </c>
      <c r="G38" s="39">
        <v>25</v>
      </c>
      <c r="H38" s="39">
        <v>6</v>
      </c>
      <c r="I38" s="39">
        <v>11</v>
      </c>
      <c r="J38" s="40">
        <v>3</v>
      </c>
    </row>
    <row r="39" spans="1:15" x14ac:dyDescent="0.35">
      <c r="A39" s="74"/>
      <c r="B39" s="74"/>
      <c r="C39" s="130"/>
      <c r="D39" s="34" t="s">
        <v>164</v>
      </c>
      <c r="E39" s="36" t="s">
        <v>3</v>
      </c>
      <c r="F39" s="39">
        <v>480</v>
      </c>
      <c r="G39" s="39">
        <v>66</v>
      </c>
      <c r="H39" s="40">
        <v>8</v>
      </c>
      <c r="I39" s="39">
        <v>19</v>
      </c>
      <c r="J39" s="39">
        <v>1</v>
      </c>
    </row>
    <row r="40" spans="1:15" x14ac:dyDescent="0.35">
      <c r="A40" s="74"/>
      <c r="B40" s="74"/>
      <c r="C40" s="130"/>
      <c r="D40" s="34" t="s">
        <v>164</v>
      </c>
      <c r="E40" s="36" t="s">
        <v>4</v>
      </c>
      <c r="F40" s="39">
        <v>836</v>
      </c>
      <c r="G40" s="39">
        <v>81</v>
      </c>
      <c r="H40" s="39">
        <v>14</v>
      </c>
      <c r="I40" s="39">
        <v>21</v>
      </c>
      <c r="J40" s="40">
        <v>4</v>
      </c>
    </row>
    <row r="41" spans="1:15" x14ac:dyDescent="0.35">
      <c r="A41" s="74"/>
      <c r="B41" s="74"/>
      <c r="C41" s="130"/>
      <c r="D41" s="34" t="s">
        <v>164</v>
      </c>
      <c r="E41" s="36" t="s">
        <v>5</v>
      </c>
      <c r="F41" s="39">
        <v>358</v>
      </c>
      <c r="G41" s="39">
        <v>58</v>
      </c>
      <c r="H41" s="39">
        <v>4</v>
      </c>
      <c r="I41" s="39">
        <v>8</v>
      </c>
      <c r="J41" s="40">
        <v>3</v>
      </c>
    </row>
    <row r="42" spans="1:15" x14ac:dyDescent="0.35">
      <c r="A42" s="74"/>
      <c r="B42" s="74"/>
      <c r="C42" s="130"/>
      <c r="D42" s="34" t="s">
        <v>164</v>
      </c>
      <c r="E42" s="36" t="s">
        <v>6</v>
      </c>
      <c r="F42" s="39">
        <v>140</v>
      </c>
      <c r="G42" s="39">
        <v>10</v>
      </c>
      <c r="H42" s="40">
        <v>0</v>
      </c>
      <c r="I42" s="39">
        <v>2</v>
      </c>
      <c r="J42" s="40">
        <v>0</v>
      </c>
    </row>
    <row r="43" spans="1:15" x14ac:dyDescent="0.35">
      <c r="A43" s="74"/>
      <c r="B43" s="74"/>
      <c r="C43" s="130"/>
      <c r="D43" s="34" t="s">
        <v>164</v>
      </c>
      <c r="E43" s="36" t="s">
        <v>7</v>
      </c>
      <c r="F43" s="39">
        <v>658</v>
      </c>
      <c r="G43" s="39">
        <v>220</v>
      </c>
      <c r="H43" s="39">
        <v>16</v>
      </c>
      <c r="I43" s="39">
        <v>22</v>
      </c>
      <c r="J43" s="39">
        <v>10</v>
      </c>
    </row>
    <row r="44" spans="1:15" x14ac:dyDescent="0.35">
      <c r="A44" s="74"/>
      <c r="B44" s="74"/>
      <c r="C44" s="130"/>
      <c r="D44" s="34" t="s">
        <v>164</v>
      </c>
      <c r="E44" s="36" t="s">
        <v>15</v>
      </c>
      <c r="F44" s="39">
        <v>7</v>
      </c>
      <c r="G44" s="39">
        <v>4</v>
      </c>
      <c r="H44" s="40">
        <v>0</v>
      </c>
      <c r="I44" s="40">
        <v>0</v>
      </c>
      <c r="J44" s="40">
        <v>0</v>
      </c>
      <c r="K44" s="2">
        <f>SUM(F36:F44)</f>
        <v>3070</v>
      </c>
      <c r="L44" s="2">
        <f t="shared" ref="L44:O44" si="3">SUM(G36:G44)</f>
        <v>495</v>
      </c>
      <c r="M44" s="2">
        <f t="shared" si="3"/>
        <v>48</v>
      </c>
      <c r="N44" s="2">
        <f t="shared" si="3"/>
        <v>92</v>
      </c>
      <c r="O44" s="2">
        <f t="shared" si="3"/>
        <v>27</v>
      </c>
    </row>
    <row r="45" spans="1:15" x14ac:dyDescent="0.35">
      <c r="A45" s="92" t="s">
        <v>641</v>
      </c>
      <c r="B45" s="92" t="s">
        <v>642</v>
      </c>
      <c r="C45" s="103">
        <v>477</v>
      </c>
      <c r="D45" s="34" t="s">
        <v>165</v>
      </c>
      <c r="E45" s="36" t="s">
        <v>17</v>
      </c>
      <c r="F45" s="37">
        <v>468</v>
      </c>
      <c r="G45" s="37">
        <v>41</v>
      </c>
      <c r="H45" s="37">
        <v>2</v>
      </c>
      <c r="I45" s="37">
        <v>10</v>
      </c>
      <c r="J45" s="38">
        <v>3</v>
      </c>
    </row>
    <row r="46" spans="1:15" x14ac:dyDescent="0.35">
      <c r="A46" s="92" t="s">
        <v>643</v>
      </c>
      <c r="B46" s="92" t="s">
        <v>644</v>
      </c>
      <c r="C46" s="103">
        <v>2267</v>
      </c>
      <c r="D46" s="34" t="s">
        <v>165</v>
      </c>
      <c r="E46" s="36" t="s">
        <v>2</v>
      </c>
      <c r="F46" s="37">
        <v>72</v>
      </c>
      <c r="G46" s="37">
        <v>11</v>
      </c>
      <c r="H46" s="37">
        <v>3</v>
      </c>
      <c r="I46" s="37">
        <v>1</v>
      </c>
      <c r="J46" s="37">
        <v>1</v>
      </c>
    </row>
    <row r="47" spans="1:15" x14ac:dyDescent="0.35">
      <c r="A47" s="60"/>
      <c r="B47" s="60"/>
      <c r="C47" s="104"/>
      <c r="D47" s="34" t="s">
        <v>165</v>
      </c>
      <c r="E47" s="36" t="s">
        <v>3</v>
      </c>
      <c r="F47" s="37">
        <v>72</v>
      </c>
      <c r="G47" s="37">
        <v>15</v>
      </c>
      <c r="H47" s="37">
        <v>3</v>
      </c>
      <c r="I47" s="37">
        <v>2</v>
      </c>
      <c r="J47" s="38">
        <v>1</v>
      </c>
    </row>
    <row r="48" spans="1:15" x14ac:dyDescent="0.35">
      <c r="A48" s="60"/>
      <c r="B48" s="60"/>
      <c r="C48" s="104"/>
      <c r="D48" s="34" t="s">
        <v>165</v>
      </c>
      <c r="E48" s="36" t="s">
        <v>4</v>
      </c>
      <c r="F48" s="37">
        <v>125</v>
      </c>
      <c r="G48" s="37">
        <v>8</v>
      </c>
      <c r="H48" s="37">
        <v>2</v>
      </c>
      <c r="I48" s="38">
        <v>0</v>
      </c>
      <c r="J48" s="38">
        <v>1</v>
      </c>
    </row>
    <row r="49" spans="1:15" x14ac:dyDescent="0.35">
      <c r="A49" s="60"/>
      <c r="B49" s="60"/>
      <c r="C49" s="104"/>
      <c r="D49" s="34" t="s">
        <v>165</v>
      </c>
      <c r="E49" s="36" t="s">
        <v>5</v>
      </c>
      <c r="F49" s="37">
        <v>95</v>
      </c>
      <c r="G49" s="37">
        <v>10</v>
      </c>
      <c r="H49" s="37">
        <v>1</v>
      </c>
      <c r="I49" s="37">
        <v>2</v>
      </c>
      <c r="J49" s="38">
        <v>1</v>
      </c>
    </row>
    <row r="50" spans="1:15" x14ac:dyDescent="0.35">
      <c r="A50" s="60"/>
      <c r="B50" s="60"/>
      <c r="C50" s="104"/>
      <c r="D50" s="34" t="s">
        <v>165</v>
      </c>
      <c r="E50" s="36" t="s">
        <v>6</v>
      </c>
      <c r="F50" s="37">
        <v>213</v>
      </c>
      <c r="G50" s="37">
        <v>20</v>
      </c>
      <c r="H50" s="37">
        <v>4</v>
      </c>
      <c r="I50" s="37">
        <v>1</v>
      </c>
      <c r="J50" s="38">
        <v>1</v>
      </c>
    </row>
    <row r="51" spans="1:15" x14ac:dyDescent="0.35">
      <c r="A51" s="60"/>
      <c r="B51" s="60"/>
      <c r="C51" s="104"/>
      <c r="D51" s="34" t="s">
        <v>165</v>
      </c>
      <c r="E51" s="36" t="s">
        <v>7</v>
      </c>
      <c r="F51" s="37">
        <v>392</v>
      </c>
      <c r="G51" s="37">
        <v>33</v>
      </c>
      <c r="H51" s="37">
        <v>9</v>
      </c>
      <c r="I51" s="37">
        <v>5</v>
      </c>
      <c r="J51" s="38">
        <v>3</v>
      </c>
      <c r="K51" s="2">
        <f>SUM(F46:F51)</f>
        <v>969</v>
      </c>
      <c r="L51" s="2">
        <f t="shared" ref="L51:O51" si="4">SUM(G46:G51)</f>
        <v>97</v>
      </c>
      <c r="M51" s="2">
        <f t="shared" si="4"/>
        <v>22</v>
      </c>
      <c r="N51" s="2">
        <f t="shared" si="4"/>
        <v>11</v>
      </c>
      <c r="O51" s="2">
        <f t="shared" si="4"/>
        <v>8</v>
      </c>
    </row>
    <row r="52" spans="1:15" x14ac:dyDescent="0.35">
      <c r="A52" s="93" t="s">
        <v>547</v>
      </c>
      <c r="B52" s="93" t="s">
        <v>548</v>
      </c>
      <c r="C52" s="113">
        <v>4925</v>
      </c>
      <c r="D52" s="34" t="s">
        <v>166</v>
      </c>
      <c r="E52" s="36" t="s">
        <v>17</v>
      </c>
      <c r="F52" s="39">
        <v>233</v>
      </c>
      <c r="G52" s="39">
        <v>43</v>
      </c>
      <c r="H52" s="39">
        <v>14</v>
      </c>
      <c r="I52" s="39">
        <v>7</v>
      </c>
      <c r="J52" s="40">
        <v>0</v>
      </c>
    </row>
    <row r="53" spans="1:15" x14ac:dyDescent="0.35">
      <c r="A53" s="74"/>
      <c r="B53" s="74"/>
      <c r="C53" s="130"/>
      <c r="D53" s="34" t="s">
        <v>166</v>
      </c>
      <c r="E53" s="36" t="s">
        <v>2</v>
      </c>
      <c r="F53" s="39">
        <v>160</v>
      </c>
      <c r="G53" s="39">
        <v>23</v>
      </c>
      <c r="H53" s="40">
        <v>0</v>
      </c>
      <c r="I53" s="39">
        <v>1</v>
      </c>
      <c r="J53" s="40">
        <v>2</v>
      </c>
    </row>
    <row r="54" spans="1:15" x14ac:dyDescent="0.35">
      <c r="A54" s="74"/>
      <c r="B54" s="74"/>
      <c r="C54" s="130"/>
      <c r="D54" s="34" t="s">
        <v>166</v>
      </c>
      <c r="E54" s="36" t="s">
        <v>3</v>
      </c>
      <c r="F54" s="39">
        <v>157</v>
      </c>
      <c r="G54" s="39">
        <v>10</v>
      </c>
      <c r="H54" s="40">
        <v>0</v>
      </c>
      <c r="I54" s="39">
        <v>1</v>
      </c>
      <c r="J54" s="40">
        <v>1</v>
      </c>
    </row>
    <row r="55" spans="1:15" x14ac:dyDescent="0.35">
      <c r="A55" s="74"/>
      <c r="B55" s="74"/>
      <c r="C55" s="130"/>
      <c r="D55" s="34" t="s">
        <v>166</v>
      </c>
      <c r="E55" s="36" t="s">
        <v>4</v>
      </c>
      <c r="F55" s="39">
        <v>1494</v>
      </c>
      <c r="G55" s="39">
        <v>234</v>
      </c>
      <c r="H55" s="39">
        <v>19</v>
      </c>
      <c r="I55" s="39">
        <v>69</v>
      </c>
      <c r="J55" s="39">
        <v>7</v>
      </c>
    </row>
    <row r="56" spans="1:15" x14ac:dyDescent="0.35">
      <c r="A56" s="74"/>
      <c r="B56" s="74"/>
      <c r="C56" s="130"/>
      <c r="D56" s="34" t="s">
        <v>166</v>
      </c>
      <c r="E56" s="36" t="s">
        <v>5</v>
      </c>
      <c r="F56" s="39">
        <v>1635</v>
      </c>
      <c r="G56" s="39">
        <v>284</v>
      </c>
      <c r="H56" s="39">
        <v>19</v>
      </c>
      <c r="I56" s="39">
        <v>71</v>
      </c>
      <c r="J56" s="39">
        <v>11</v>
      </c>
      <c r="K56" s="2">
        <f>SUM(F52:F56)</f>
        <v>3679</v>
      </c>
      <c r="L56" s="2">
        <f t="shared" ref="L56:O56" si="5">SUM(G52:G56)</f>
        <v>594</v>
      </c>
      <c r="M56" s="2">
        <f t="shared" si="5"/>
        <v>52</v>
      </c>
      <c r="N56" s="2">
        <f t="shared" si="5"/>
        <v>149</v>
      </c>
      <c r="O56" s="2">
        <f t="shared" si="5"/>
        <v>21</v>
      </c>
    </row>
    <row r="57" spans="1:15" x14ac:dyDescent="0.35">
      <c r="A57" s="92" t="s">
        <v>645</v>
      </c>
      <c r="B57" s="92" t="s">
        <v>646</v>
      </c>
      <c r="C57" s="103">
        <v>2361</v>
      </c>
      <c r="D57" s="34" t="s">
        <v>167</v>
      </c>
      <c r="E57" s="36" t="s">
        <v>17</v>
      </c>
      <c r="F57" s="37">
        <v>238</v>
      </c>
      <c r="G57" s="37">
        <v>31</v>
      </c>
      <c r="H57" s="38">
        <v>0</v>
      </c>
      <c r="I57" s="37">
        <v>6</v>
      </c>
      <c r="J57" s="37">
        <v>1</v>
      </c>
    </row>
    <row r="58" spans="1:15" x14ac:dyDescent="0.35">
      <c r="A58" s="60"/>
      <c r="B58" s="60"/>
      <c r="C58" s="104"/>
      <c r="D58" s="34" t="s">
        <v>167</v>
      </c>
      <c r="E58" s="36" t="s">
        <v>2</v>
      </c>
      <c r="F58" s="37">
        <v>219</v>
      </c>
      <c r="G58" s="37">
        <v>8</v>
      </c>
      <c r="H58" s="37">
        <v>2</v>
      </c>
      <c r="I58" s="37">
        <v>2</v>
      </c>
      <c r="J58" s="38">
        <v>1</v>
      </c>
    </row>
    <row r="59" spans="1:15" x14ac:dyDescent="0.35">
      <c r="A59" s="60"/>
      <c r="B59" s="60"/>
      <c r="C59" s="104"/>
      <c r="D59" s="34" t="s">
        <v>167</v>
      </c>
      <c r="E59" s="36" t="s">
        <v>3</v>
      </c>
      <c r="F59" s="37">
        <v>240</v>
      </c>
      <c r="G59" s="37">
        <v>30</v>
      </c>
      <c r="H59" s="37">
        <v>15</v>
      </c>
      <c r="I59" s="37">
        <v>10</v>
      </c>
      <c r="J59" s="37">
        <v>1</v>
      </c>
    </row>
    <row r="60" spans="1:15" x14ac:dyDescent="0.35">
      <c r="A60" s="60"/>
      <c r="B60" s="60"/>
      <c r="C60" s="104"/>
      <c r="D60" s="34" t="s">
        <v>167</v>
      </c>
      <c r="E60" s="36" t="s">
        <v>4</v>
      </c>
      <c r="F60" s="37">
        <v>105</v>
      </c>
      <c r="G60" s="37">
        <v>6</v>
      </c>
      <c r="H60" s="37">
        <v>8</v>
      </c>
      <c r="I60" s="38">
        <v>0</v>
      </c>
      <c r="J60" s="38">
        <v>0</v>
      </c>
    </row>
    <row r="61" spans="1:15" x14ac:dyDescent="0.35">
      <c r="A61" s="60"/>
      <c r="B61" s="60"/>
      <c r="C61" s="104"/>
      <c r="D61" s="34" t="s">
        <v>167</v>
      </c>
      <c r="E61" s="36" t="s">
        <v>5</v>
      </c>
      <c r="F61" s="37">
        <v>156</v>
      </c>
      <c r="G61" s="37">
        <v>19</v>
      </c>
      <c r="H61" s="37">
        <v>1</v>
      </c>
      <c r="I61" s="37">
        <v>3</v>
      </c>
      <c r="J61" s="38">
        <v>2</v>
      </c>
      <c r="K61" s="2">
        <f>SUM(F57:F61)</f>
        <v>958</v>
      </c>
      <c r="L61" s="2">
        <f t="shared" ref="L61:O61" si="6">SUM(G57:G61)</f>
        <v>94</v>
      </c>
      <c r="M61" s="2">
        <f t="shared" si="6"/>
        <v>26</v>
      </c>
      <c r="N61" s="2">
        <f t="shared" si="6"/>
        <v>21</v>
      </c>
      <c r="O61" s="2">
        <f t="shared" si="6"/>
        <v>5</v>
      </c>
    </row>
    <row r="62" spans="1:15" x14ac:dyDescent="0.35">
      <c r="A62" s="93" t="s">
        <v>647</v>
      </c>
      <c r="B62" s="93" t="s">
        <v>648</v>
      </c>
      <c r="C62" s="113">
        <v>2186</v>
      </c>
      <c r="D62" s="34" t="s">
        <v>168</v>
      </c>
      <c r="E62" s="36" t="s">
        <v>17</v>
      </c>
      <c r="F62" s="39">
        <v>333</v>
      </c>
      <c r="G62" s="39">
        <v>103</v>
      </c>
      <c r="H62" s="39">
        <v>11</v>
      </c>
      <c r="I62" s="39">
        <v>7</v>
      </c>
      <c r="J62" s="40">
        <v>2</v>
      </c>
    </row>
    <row r="63" spans="1:15" x14ac:dyDescent="0.35">
      <c r="A63" s="74"/>
      <c r="B63" s="74"/>
      <c r="C63" s="130"/>
      <c r="D63" s="34" t="s">
        <v>168</v>
      </c>
      <c r="E63" s="36" t="s">
        <v>2</v>
      </c>
      <c r="F63" s="39">
        <v>212</v>
      </c>
      <c r="G63" s="39">
        <v>26</v>
      </c>
      <c r="H63" s="39">
        <v>3</v>
      </c>
      <c r="I63" s="39">
        <v>6</v>
      </c>
      <c r="J63" s="40">
        <v>2</v>
      </c>
    </row>
    <row r="64" spans="1:15" x14ac:dyDescent="0.35">
      <c r="A64" s="74"/>
      <c r="B64" s="74"/>
      <c r="C64" s="130"/>
      <c r="D64" s="34" t="s">
        <v>168</v>
      </c>
      <c r="E64" s="36" t="s">
        <v>3</v>
      </c>
      <c r="F64" s="39">
        <v>318</v>
      </c>
      <c r="G64" s="39">
        <v>26</v>
      </c>
      <c r="H64" s="39">
        <v>17</v>
      </c>
      <c r="I64" s="39">
        <v>12</v>
      </c>
      <c r="J64" s="40">
        <v>2</v>
      </c>
    </row>
    <row r="65" spans="1:15" x14ac:dyDescent="0.35">
      <c r="A65" s="74"/>
      <c r="B65" s="74"/>
      <c r="C65" s="130"/>
      <c r="D65" s="34" t="s">
        <v>168</v>
      </c>
      <c r="E65" s="36" t="s">
        <v>4</v>
      </c>
      <c r="F65" s="39">
        <v>50</v>
      </c>
      <c r="G65" s="39">
        <v>8</v>
      </c>
      <c r="H65" s="40">
        <v>0</v>
      </c>
      <c r="I65" s="39">
        <v>1</v>
      </c>
      <c r="J65" s="40">
        <v>0</v>
      </c>
    </row>
    <row r="66" spans="1:15" x14ac:dyDescent="0.35">
      <c r="A66" s="74"/>
      <c r="B66" s="74"/>
      <c r="C66" s="130"/>
      <c r="D66" s="34" t="s">
        <v>168</v>
      </c>
      <c r="E66" s="36" t="s">
        <v>5</v>
      </c>
      <c r="F66" s="39">
        <v>189</v>
      </c>
      <c r="G66" s="39">
        <v>12</v>
      </c>
      <c r="H66" s="39">
        <v>4</v>
      </c>
      <c r="I66" s="39">
        <v>6</v>
      </c>
      <c r="J66" s="40">
        <v>2</v>
      </c>
      <c r="K66" s="2">
        <f>SUM(F62:F66)</f>
        <v>1102</v>
      </c>
      <c r="L66" s="2">
        <f t="shared" ref="L66:O66" si="7">SUM(G62:G66)</f>
        <v>175</v>
      </c>
      <c r="M66" s="2">
        <f t="shared" si="7"/>
        <v>35</v>
      </c>
      <c r="N66" s="2">
        <f t="shared" si="7"/>
        <v>32</v>
      </c>
      <c r="O66" s="2">
        <f t="shared" si="7"/>
        <v>8</v>
      </c>
    </row>
    <row r="67" spans="1:15" x14ac:dyDescent="0.35">
      <c r="A67" s="92" t="s">
        <v>649</v>
      </c>
      <c r="B67" s="92" t="s">
        <v>650</v>
      </c>
      <c r="C67" s="103">
        <v>1426</v>
      </c>
      <c r="D67" s="34" t="s">
        <v>169</v>
      </c>
      <c r="E67" s="36" t="s">
        <v>17</v>
      </c>
      <c r="F67" s="37">
        <v>211</v>
      </c>
      <c r="G67" s="37">
        <v>15</v>
      </c>
      <c r="H67" s="37">
        <v>3</v>
      </c>
      <c r="I67" s="37">
        <v>4</v>
      </c>
      <c r="J67" s="38">
        <v>0</v>
      </c>
    </row>
    <row r="68" spans="1:15" x14ac:dyDescent="0.35">
      <c r="A68" s="60"/>
      <c r="B68" s="60"/>
      <c r="C68" s="104"/>
      <c r="D68" s="34" t="s">
        <v>169</v>
      </c>
      <c r="E68" s="36" t="s">
        <v>2</v>
      </c>
      <c r="F68" s="37">
        <v>207</v>
      </c>
      <c r="G68" s="37">
        <v>28</v>
      </c>
      <c r="H68" s="37">
        <v>5</v>
      </c>
      <c r="I68" s="37">
        <v>8</v>
      </c>
      <c r="J68" s="38">
        <v>0</v>
      </c>
    </row>
    <row r="69" spans="1:15" x14ac:dyDescent="0.35">
      <c r="A69" s="60"/>
      <c r="B69" s="60"/>
      <c r="C69" s="104"/>
      <c r="D69" s="34" t="s">
        <v>169</v>
      </c>
      <c r="E69" s="36" t="s">
        <v>3</v>
      </c>
      <c r="F69" s="37">
        <v>142</v>
      </c>
      <c r="G69" s="37">
        <v>8</v>
      </c>
      <c r="H69" s="37">
        <v>2</v>
      </c>
      <c r="I69" s="37">
        <v>3</v>
      </c>
      <c r="J69" s="38">
        <v>0</v>
      </c>
    </row>
    <row r="70" spans="1:15" x14ac:dyDescent="0.35">
      <c r="A70" s="60"/>
      <c r="B70" s="60"/>
      <c r="C70" s="104"/>
      <c r="D70" s="34" t="s">
        <v>169</v>
      </c>
      <c r="E70" s="36" t="s">
        <v>4</v>
      </c>
      <c r="F70" s="37">
        <v>161</v>
      </c>
      <c r="G70" s="37">
        <v>16</v>
      </c>
      <c r="H70" s="37">
        <v>2</v>
      </c>
      <c r="I70" s="37">
        <v>5</v>
      </c>
      <c r="J70" s="38">
        <v>0</v>
      </c>
      <c r="K70" s="2">
        <f>SUM(F67:F70)</f>
        <v>721</v>
      </c>
      <c r="L70" s="2">
        <f t="shared" ref="L70:O70" si="8">SUM(G67:G70)</f>
        <v>67</v>
      </c>
      <c r="M70" s="2">
        <f t="shared" si="8"/>
        <v>12</v>
      </c>
      <c r="N70" s="2">
        <f t="shared" si="8"/>
        <v>20</v>
      </c>
      <c r="O70" s="2">
        <f t="shared" si="8"/>
        <v>0</v>
      </c>
    </row>
    <row r="71" spans="1:15" x14ac:dyDescent="0.35">
      <c r="A71" s="93" t="s">
        <v>651</v>
      </c>
      <c r="B71" s="93" t="s">
        <v>652</v>
      </c>
      <c r="C71" s="113">
        <v>4097</v>
      </c>
      <c r="D71" s="34" t="s">
        <v>170</v>
      </c>
      <c r="E71" s="36" t="s">
        <v>17</v>
      </c>
      <c r="F71" s="39">
        <v>669</v>
      </c>
      <c r="G71" s="39">
        <v>109</v>
      </c>
      <c r="H71" s="39">
        <v>12</v>
      </c>
      <c r="I71" s="39">
        <v>20</v>
      </c>
      <c r="J71" s="39">
        <v>0</v>
      </c>
    </row>
    <row r="72" spans="1:15" x14ac:dyDescent="0.35">
      <c r="A72" s="74"/>
      <c r="B72" s="74"/>
      <c r="C72" s="130"/>
      <c r="D72" s="34" t="s">
        <v>170</v>
      </c>
      <c r="E72" s="36" t="s">
        <v>2</v>
      </c>
      <c r="F72" s="39">
        <v>330</v>
      </c>
      <c r="G72" s="39">
        <v>24</v>
      </c>
      <c r="H72" s="39">
        <v>1</v>
      </c>
      <c r="I72" s="39">
        <v>6</v>
      </c>
      <c r="J72" s="40">
        <v>0</v>
      </c>
    </row>
    <row r="73" spans="1:15" x14ac:dyDescent="0.35">
      <c r="A73" s="74"/>
      <c r="B73" s="74"/>
      <c r="C73" s="130"/>
      <c r="D73" s="34" t="s">
        <v>170</v>
      </c>
      <c r="E73" s="36" t="s">
        <v>3</v>
      </c>
      <c r="F73" s="39">
        <v>336</v>
      </c>
      <c r="G73" s="39">
        <v>27</v>
      </c>
      <c r="H73" s="39">
        <v>5</v>
      </c>
      <c r="I73" s="39">
        <v>3</v>
      </c>
      <c r="J73" s="39">
        <v>2</v>
      </c>
    </row>
    <row r="74" spans="1:15" x14ac:dyDescent="0.35">
      <c r="A74" s="74"/>
      <c r="B74" s="74"/>
      <c r="C74" s="130"/>
      <c r="D74" s="34" t="s">
        <v>170</v>
      </c>
      <c r="E74" s="36" t="s">
        <v>4</v>
      </c>
      <c r="F74" s="39">
        <v>223</v>
      </c>
      <c r="G74" s="39">
        <v>15</v>
      </c>
      <c r="H74" s="39">
        <v>2</v>
      </c>
      <c r="I74" s="39">
        <v>6</v>
      </c>
      <c r="J74" s="40">
        <v>0</v>
      </c>
      <c r="K74" s="2">
        <f>SUM(F71:F74)</f>
        <v>1558</v>
      </c>
      <c r="L74" s="2">
        <f t="shared" ref="L74:O74" si="9">SUM(G71:G74)</f>
        <v>175</v>
      </c>
      <c r="M74" s="2">
        <f t="shared" si="9"/>
        <v>20</v>
      </c>
      <c r="N74" s="2">
        <f t="shared" si="9"/>
        <v>35</v>
      </c>
      <c r="O74" s="2">
        <f t="shared" si="9"/>
        <v>2</v>
      </c>
    </row>
    <row r="75" spans="1:15" x14ac:dyDescent="0.35">
      <c r="A75" s="75"/>
      <c r="B75" s="75" t="s">
        <v>721</v>
      </c>
      <c r="C75" s="129">
        <f>SUM(C13:C71)</f>
        <v>38553</v>
      </c>
      <c r="D75" s="354" t="s">
        <v>229</v>
      </c>
      <c r="E75" s="354"/>
      <c r="F75" s="41">
        <f>SUM(F13:F74)</f>
        <v>18648</v>
      </c>
      <c r="G75" s="41">
        <f>SUM(G13:G74)</f>
        <v>2845</v>
      </c>
      <c r="H75" s="41">
        <f>SUM(H13:H74)</f>
        <v>318</v>
      </c>
      <c r="I75" s="41">
        <f>SUM(I13:I74)</f>
        <v>563</v>
      </c>
      <c r="J75" s="41">
        <f>SUM(J13:J74)</f>
        <v>113</v>
      </c>
    </row>
    <row r="76" spans="1:15" x14ac:dyDescent="0.35">
      <c r="A76" s="353" t="s">
        <v>741</v>
      </c>
      <c r="B76" s="353"/>
      <c r="C76" s="129">
        <f>SUM(C75,F75,G75,H75,I75,J75)</f>
        <v>61040</v>
      </c>
    </row>
  </sheetData>
  <mergeCells count="7">
    <mergeCell ref="A76:B76"/>
    <mergeCell ref="D75:E75"/>
    <mergeCell ref="D1:J1"/>
    <mergeCell ref="D2:J2"/>
    <mergeCell ref="A1:C1"/>
    <mergeCell ref="A2:C2"/>
    <mergeCell ref="F3:J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6"/>
  <sheetViews>
    <sheetView workbookViewId="0">
      <selection sqref="A1:C1"/>
    </sheetView>
  </sheetViews>
  <sheetFormatPr defaultRowHeight="21" x14ac:dyDescent="0.35"/>
  <cols>
    <col min="1" max="1" width="14.140625" style="2" customWidth="1"/>
    <col min="2" max="2" width="19" style="2" customWidth="1"/>
    <col min="3" max="3" width="18.5703125" style="94" customWidth="1"/>
    <col min="4" max="4" width="12.7109375" style="2" customWidth="1"/>
    <col min="5" max="5" width="9.140625" style="22"/>
    <col min="6" max="6" width="13.7109375" style="22" customWidth="1"/>
    <col min="7" max="7" width="14.42578125" style="22" customWidth="1"/>
    <col min="8" max="8" width="10.7109375" style="22" customWidth="1"/>
    <col min="9" max="9" width="19" style="22" customWidth="1"/>
    <col min="10" max="10" width="15.140625" style="22" customWidth="1"/>
    <col min="11" max="16384" width="9.140625" style="2"/>
  </cols>
  <sheetData>
    <row r="1" spans="1:15" x14ac:dyDescent="0.35">
      <c r="A1" s="334" t="s">
        <v>742</v>
      </c>
      <c r="B1" s="334"/>
      <c r="C1" s="334"/>
      <c r="D1" s="349" t="s">
        <v>235</v>
      </c>
      <c r="E1" s="350"/>
      <c r="F1" s="350"/>
      <c r="G1" s="350"/>
      <c r="H1" s="350"/>
      <c r="I1" s="350"/>
      <c r="J1" s="350"/>
    </row>
    <row r="2" spans="1:15" x14ac:dyDescent="0.35">
      <c r="A2" s="334" t="s">
        <v>718</v>
      </c>
      <c r="B2" s="334"/>
      <c r="C2" s="334"/>
      <c r="D2" s="351" t="s">
        <v>862</v>
      </c>
      <c r="E2" s="349"/>
      <c r="F2" s="349"/>
      <c r="G2" s="349"/>
      <c r="H2" s="349"/>
      <c r="I2" s="349"/>
      <c r="J2" s="349"/>
    </row>
    <row r="3" spans="1:15" x14ac:dyDescent="0.35">
      <c r="A3" s="90"/>
      <c r="B3" s="90"/>
      <c r="C3" s="109"/>
      <c r="D3" s="42">
        <v>0</v>
      </c>
      <c r="E3" s="42"/>
      <c r="F3" s="358" t="s">
        <v>716</v>
      </c>
      <c r="G3" s="358"/>
      <c r="H3" s="358"/>
      <c r="I3" s="358"/>
      <c r="J3" s="358"/>
    </row>
    <row r="4" spans="1:15" x14ac:dyDescent="0.35">
      <c r="A4" s="117" t="s">
        <v>714</v>
      </c>
      <c r="B4" s="117" t="s">
        <v>254</v>
      </c>
      <c r="C4" s="118" t="s">
        <v>715</v>
      </c>
      <c r="D4" s="28" t="s">
        <v>223</v>
      </c>
      <c r="E4" s="29" t="s">
        <v>222</v>
      </c>
      <c r="F4" s="29" t="s">
        <v>218</v>
      </c>
      <c r="G4" s="29" t="s">
        <v>219</v>
      </c>
      <c r="H4" s="29" t="s">
        <v>220</v>
      </c>
      <c r="I4" s="29" t="s">
        <v>226</v>
      </c>
      <c r="J4" s="29" t="s">
        <v>221</v>
      </c>
    </row>
    <row r="5" spans="1:15" x14ac:dyDescent="0.35">
      <c r="A5" s="121" t="s">
        <v>390</v>
      </c>
      <c r="B5" s="121" t="s">
        <v>391</v>
      </c>
      <c r="C5" s="122">
        <v>1922</v>
      </c>
      <c r="D5" s="30" t="s">
        <v>171</v>
      </c>
      <c r="E5" s="31" t="s">
        <v>0</v>
      </c>
      <c r="F5" s="25">
        <v>871</v>
      </c>
      <c r="G5" s="25">
        <v>438</v>
      </c>
      <c r="H5" s="25">
        <v>119</v>
      </c>
      <c r="I5" s="25">
        <v>65</v>
      </c>
      <c r="J5" s="25">
        <v>5</v>
      </c>
    </row>
    <row r="6" spans="1:15" x14ac:dyDescent="0.35">
      <c r="D6" s="30" t="s">
        <v>172</v>
      </c>
      <c r="E6" s="31" t="s">
        <v>17</v>
      </c>
      <c r="F6" s="21">
        <v>158</v>
      </c>
      <c r="G6" s="21">
        <v>38</v>
      </c>
      <c r="H6" s="21">
        <v>8</v>
      </c>
      <c r="I6" s="21">
        <v>8</v>
      </c>
      <c r="J6" s="26">
        <v>1</v>
      </c>
    </row>
    <row r="7" spans="1:15" x14ac:dyDescent="0.35">
      <c r="A7" s="123"/>
      <c r="B7" s="123"/>
      <c r="C7" s="124"/>
      <c r="D7" s="30" t="s">
        <v>172</v>
      </c>
      <c r="E7" s="31" t="s">
        <v>2</v>
      </c>
      <c r="F7" s="21">
        <v>147</v>
      </c>
      <c r="G7" s="21">
        <v>55</v>
      </c>
      <c r="H7" s="21">
        <v>7</v>
      </c>
      <c r="I7" s="21">
        <v>6</v>
      </c>
      <c r="J7" s="26">
        <v>1</v>
      </c>
    </row>
    <row r="8" spans="1:15" x14ac:dyDescent="0.35">
      <c r="A8" s="123"/>
      <c r="B8" s="123"/>
      <c r="C8" s="124"/>
      <c r="D8" s="30" t="s">
        <v>172</v>
      </c>
      <c r="E8" s="31" t="s">
        <v>3</v>
      </c>
      <c r="F8" s="21">
        <v>100</v>
      </c>
      <c r="G8" s="21">
        <v>17</v>
      </c>
      <c r="H8" s="21">
        <v>3</v>
      </c>
      <c r="I8" s="26">
        <v>2</v>
      </c>
      <c r="J8" s="21">
        <v>0</v>
      </c>
    </row>
    <row r="9" spans="1:15" x14ac:dyDescent="0.35">
      <c r="A9" s="123"/>
      <c r="B9" s="123"/>
      <c r="C9" s="124"/>
      <c r="D9" s="30" t="s">
        <v>172</v>
      </c>
      <c r="E9" s="31" t="s">
        <v>4</v>
      </c>
      <c r="F9" s="21">
        <v>29</v>
      </c>
      <c r="G9" s="21">
        <v>16</v>
      </c>
      <c r="H9" s="21">
        <v>1</v>
      </c>
      <c r="I9" s="21">
        <v>0</v>
      </c>
      <c r="J9" s="26">
        <v>0</v>
      </c>
    </row>
    <row r="10" spans="1:15" x14ac:dyDescent="0.35">
      <c r="A10" s="123"/>
      <c r="B10" s="123"/>
      <c r="C10" s="124"/>
      <c r="D10" s="30" t="s">
        <v>172</v>
      </c>
      <c r="E10" s="31" t="s">
        <v>5</v>
      </c>
      <c r="F10" s="21">
        <v>83</v>
      </c>
      <c r="G10" s="21">
        <v>20</v>
      </c>
      <c r="H10" s="21">
        <v>11</v>
      </c>
      <c r="I10" s="21">
        <v>4</v>
      </c>
      <c r="J10" s="21">
        <v>0</v>
      </c>
    </row>
    <row r="11" spans="1:15" x14ac:dyDescent="0.35">
      <c r="A11" s="123"/>
      <c r="B11" s="123"/>
      <c r="C11" s="124"/>
      <c r="D11" s="30" t="s">
        <v>172</v>
      </c>
      <c r="E11" s="31" t="s">
        <v>6</v>
      </c>
      <c r="F11" s="21">
        <v>30</v>
      </c>
      <c r="G11" s="21">
        <v>18</v>
      </c>
      <c r="H11" s="21">
        <v>1</v>
      </c>
      <c r="I11" s="21">
        <v>4</v>
      </c>
      <c r="J11" s="26">
        <v>0</v>
      </c>
    </row>
    <row r="12" spans="1:15" x14ac:dyDescent="0.35">
      <c r="A12" s="123"/>
      <c r="B12" s="123"/>
      <c r="C12" s="124"/>
      <c r="D12" s="30" t="s">
        <v>172</v>
      </c>
      <c r="E12" s="31" t="s">
        <v>7</v>
      </c>
      <c r="F12" s="21">
        <v>117</v>
      </c>
      <c r="G12" s="21">
        <v>19</v>
      </c>
      <c r="H12" s="21">
        <v>5</v>
      </c>
      <c r="I12" s="21">
        <v>3</v>
      </c>
      <c r="J12" s="26">
        <v>2</v>
      </c>
    </row>
    <row r="13" spans="1:15" x14ac:dyDescent="0.35">
      <c r="A13" s="123"/>
      <c r="B13" s="123"/>
      <c r="C13" s="124"/>
      <c r="D13" s="30" t="s">
        <v>172</v>
      </c>
      <c r="E13" s="31" t="s">
        <v>8</v>
      </c>
      <c r="F13" s="21">
        <v>73</v>
      </c>
      <c r="G13" s="21">
        <v>9</v>
      </c>
      <c r="H13" s="21">
        <v>5</v>
      </c>
      <c r="I13" s="26">
        <v>3</v>
      </c>
      <c r="J13" s="26">
        <v>1</v>
      </c>
    </row>
    <row r="14" spans="1:15" x14ac:dyDescent="0.35">
      <c r="A14" s="123"/>
      <c r="B14" s="123"/>
      <c r="C14" s="124"/>
      <c r="D14" s="30" t="s">
        <v>172</v>
      </c>
      <c r="E14" s="31" t="s">
        <v>9</v>
      </c>
      <c r="F14" s="21">
        <v>68</v>
      </c>
      <c r="G14" s="21">
        <v>37</v>
      </c>
      <c r="H14" s="21">
        <v>3</v>
      </c>
      <c r="I14" s="21">
        <v>0</v>
      </c>
      <c r="J14" s="21">
        <v>1</v>
      </c>
      <c r="K14" s="2">
        <f>SUM(F5:F14)</f>
        <v>1676</v>
      </c>
      <c r="L14" s="2">
        <f t="shared" ref="L14:O14" si="0">SUM(G5:G14)</f>
        <v>667</v>
      </c>
      <c r="M14" s="2">
        <f t="shared" si="0"/>
        <v>163</v>
      </c>
      <c r="N14" s="2">
        <f t="shared" si="0"/>
        <v>95</v>
      </c>
      <c r="O14" s="2">
        <f t="shared" si="0"/>
        <v>11</v>
      </c>
    </row>
    <row r="15" spans="1:15" x14ac:dyDescent="0.35">
      <c r="A15" s="100" t="s">
        <v>392</v>
      </c>
      <c r="B15" s="100" t="s">
        <v>393</v>
      </c>
      <c r="C15" s="101">
        <v>2644</v>
      </c>
    </row>
    <row r="16" spans="1:15" x14ac:dyDescent="0.35">
      <c r="A16" s="100"/>
      <c r="B16" s="100"/>
      <c r="C16" s="101"/>
      <c r="D16" s="30" t="s">
        <v>173</v>
      </c>
      <c r="E16" s="31" t="s">
        <v>17</v>
      </c>
      <c r="F16" s="25">
        <v>136</v>
      </c>
      <c r="G16" s="25">
        <v>74</v>
      </c>
      <c r="H16" s="25">
        <v>8</v>
      </c>
      <c r="I16" s="25">
        <v>8</v>
      </c>
      <c r="J16" s="27">
        <v>2</v>
      </c>
    </row>
    <row r="17" spans="1:15" x14ac:dyDescent="0.35">
      <c r="A17" s="72"/>
      <c r="B17" s="72"/>
      <c r="C17" s="102"/>
      <c r="D17" s="30" t="s">
        <v>173</v>
      </c>
      <c r="E17" s="31" t="s">
        <v>2</v>
      </c>
      <c r="F17" s="25">
        <v>81</v>
      </c>
      <c r="G17" s="25">
        <v>27</v>
      </c>
      <c r="H17" s="25">
        <v>10</v>
      </c>
      <c r="I17" s="25">
        <v>4</v>
      </c>
      <c r="J17" s="27">
        <v>0</v>
      </c>
    </row>
    <row r="18" spans="1:15" x14ac:dyDescent="0.35">
      <c r="A18" s="72"/>
      <c r="B18" s="72"/>
      <c r="C18" s="102"/>
      <c r="D18" s="30" t="s">
        <v>173</v>
      </c>
      <c r="E18" s="31" t="s">
        <v>3</v>
      </c>
      <c r="F18" s="25">
        <v>168</v>
      </c>
      <c r="G18" s="25">
        <v>69</v>
      </c>
      <c r="H18" s="25">
        <v>21</v>
      </c>
      <c r="I18" s="25">
        <v>9</v>
      </c>
      <c r="J18" s="27">
        <v>1</v>
      </c>
    </row>
    <row r="19" spans="1:15" x14ac:dyDescent="0.35">
      <c r="A19" s="72"/>
      <c r="B19" s="72"/>
      <c r="C19" s="102"/>
      <c r="D19" s="30" t="s">
        <v>173</v>
      </c>
      <c r="E19" s="31" t="s">
        <v>4</v>
      </c>
      <c r="F19" s="25">
        <v>79</v>
      </c>
      <c r="G19" s="25">
        <v>38</v>
      </c>
      <c r="H19" s="25">
        <v>11</v>
      </c>
      <c r="I19" s="25">
        <v>7</v>
      </c>
      <c r="J19" s="27">
        <v>1</v>
      </c>
    </row>
    <row r="20" spans="1:15" x14ac:dyDescent="0.35">
      <c r="A20" s="72"/>
      <c r="B20" s="72"/>
      <c r="C20" s="102"/>
      <c r="D20" s="30" t="s">
        <v>173</v>
      </c>
      <c r="E20" s="31" t="s">
        <v>5</v>
      </c>
      <c r="F20" s="25">
        <v>117</v>
      </c>
      <c r="G20" s="25">
        <v>57</v>
      </c>
      <c r="H20" s="25">
        <v>17</v>
      </c>
      <c r="I20" s="25">
        <v>15</v>
      </c>
      <c r="J20" s="27">
        <v>0</v>
      </c>
    </row>
    <row r="21" spans="1:15" x14ac:dyDescent="0.35">
      <c r="A21" s="72"/>
      <c r="B21" s="72"/>
      <c r="C21" s="102"/>
      <c r="D21" s="30" t="s">
        <v>173</v>
      </c>
      <c r="E21" s="31" t="s">
        <v>6</v>
      </c>
      <c r="F21" s="25">
        <v>55</v>
      </c>
      <c r="G21" s="25">
        <v>19</v>
      </c>
      <c r="H21" s="25">
        <v>10</v>
      </c>
      <c r="I21" s="25">
        <v>1</v>
      </c>
      <c r="J21" s="27">
        <v>1</v>
      </c>
    </row>
    <row r="22" spans="1:15" x14ac:dyDescent="0.35">
      <c r="A22" s="72"/>
      <c r="B22" s="72"/>
      <c r="C22" s="102"/>
      <c r="D22" s="30" t="s">
        <v>173</v>
      </c>
      <c r="E22" s="31" t="s">
        <v>7</v>
      </c>
      <c r="F22" s="25">
        <v>394</v>
      </c>
      <c r="G22" s="25">
        <v>86</v>
      </c>
      <c r="H22" s="25">
        <v>33</v>
      </c>
      <c r="I22" s="25">
        <v>18</v>
      </c>
      <c r="J22" s="25">
        <v>4</v>
      </c>
      <c r="K22" s="2">
        <f>SUM(F15:F22)</f>
        <v>1030</v>
      </c>
      <c r="L22" s="2">
        <f t="shared" ref="L22:O22" si="1">SUM(G15:G22)</f>
        <v>370</v>
      </c>
      <c r="M22" s="2">
        <f t="shared" si="1"/>
        <v>110</v>
      </c>
      <c r="N22" s="2">
        <f t="shared" si="1"/>
        <v>62</v>
      </c>
      <c r="O22" s="2">
        <f t="shared" si="1"/>
        <v>9</v>
      </c>
    </row>
    <row r="23" spans="1:15" x14ac:dyDescent="0.35">
      <c r="A23" s="100" t="s">
        <v>349</v>
      </c>
      <c r="B23" s="100" t="s">
        <v>350</v>
      </c>
      <c r="C23" s="101">
        <v>5636</v>
      </c>
      <c r="D23" s="30" t="s">
        <v>173</v>
      </c>
      <c r="E23" s="31" t="s">
        <v>15</v>
      </c>
      <c r="F23" s="25">
        <v>9</v>
      </c>
      <c r="G23" s="25">
        <v>95</v>
      </c>
      <c r="H23" s="25">
        <v>7</v>
      </c>
      <c r="I23" s="25">
        <v>0</v>
      </c>
      <c r="J23" s="25">
        <v>0</v>
      </c>
    </row>
    <row r="24" spans="1:15" x14ac:dyDescent="0.35">
      <c r="A24" s="100"/>
      <c r="B24" s="100"/>
      <c r="C24" s="101"/>
      <c r="D24" s="30" t="s">
        <v>173</v>
      </c>
      <c r="E24" s="31" t="s">
        <v>0</v>
      </c>
      <c r="F24" s="25">
        <v>2</v>
      </c>
      <c r="G24" s="25">
        <v>99</v>
      </c>
      <c r="H24" s="25">
        <v>9</v>
      </c>
      <c r="I24" s="25">
        <v>1</v>
      </c>
      <c r="J24" s="25">
        <v>44</v>
      </c>
    </row>
    <row r="25" spans="1:15" x14ac:dyDescent="0.35">
      <c r="A25" s="121" t="s">
        <v>394</v>
      </c>
      <c r="B25" s="121" t="s">
        <v>395</v>
      </c>
      <c r="C25" s="122">
        <v>4269</v>
      </c>
      <c r="D25" s="30" t="s">
        <v>174</v>
      </c>
      <c r="E25" s="31" t="s">
        <v>17</v>
      </c>
      <c r="F25" s="21">
        <v>344</v>
      </c>
      <c r="G25" s="21">
        <v>57</v>
      </c>
      <c r="H25" s="21">
        <v>17</v>
      </c>
      <c r="I25" s="21">
        <v>8</v>
      </c>
      <c r="J25" s="21">
        <v>3</v>
      </c>
    </row>
    <row r="26" spans="1:15" x14ac:dyDescent="0.35">
      <c r="A26" s="123"/>
      <c r="B26" s="123"/>
      <c r="C26" s="124"/>
      <c r="D26" s="30" t="s">
        <v>174</v>
      </c>
      <c r="E26" s="31" t="s">
        <v>2</v>
      </c>
      <c r="F26" s="21">
        <v>331</v>
      </c>
      <c r="G26" s="21">
        <v>142</v>
      </c>
      <c r="H26" s="21">
        <v>38</v>
      </c>
      <c r="I26" s="21">
        <v>20</v>
      </c>
      <c r="J26" s="26">
        <v>3</v>
      </c>
    </row>
    <row r="27" spans="1:15" x14ac:dyDescent="0.35">
      <c r="A27" s="123"/>
      <c r="B27" s="123"/>
      <c r="C27" s="124"/>
      <c r="D27" s="30" t="s">
        <v>174</v>
      </c>
      <c r="E27" s="31" t="s">
        <v>3</v>
      </c>
      <c r="F27" s="21">
        <v>131</v>
      </c>
      <c r="G27" s="21">
        <v>38</v>
      </c>
      <c r="H27" s="21">
        <v>20</v>
      </c>
      <c r="I27" s="21">
        <v>0</v>
      </c>
      <c r="J27" s="21">
        <v>1</v>
      </c>
    </row>
    <row r="28" spans="1:15" x14ac:dyDescent="0.35">
      <c r="A28" s="123"/>
      <c r="B28" s="123"/>
      <c r="C28" s="124"/>
      <c r="D28" s="30" t="s">
        <v>174</v>
      </c>
      <c r="E28" s="31" t="s">
        <v>4</v>
      </c>
      <c r="F28" s="21">
        <v>92</v>
      </c>
      <c r="G28" s="21">
        <v>13</v>
      </c>
      <c r="H28" s="21">
        <v>13</v>
      </c>
      <c r="I28" s="21">
        <v>4</v>
      </c>
      <c r="J28" s="21">
        <v>1</v>
      </c>
    </row>
    <row r="29" spans="1:15" x14ac:dyDescent="0.35">
      <c r="A29" s="123"/>
      <c r="B29" s="123"/>
      <c r="C29" s="124"/>
      <c r="D29" s="30" t="s">
        <v>174</v>
      </c>
      <c r="E29" s="31" t="s">
        <v>5</v>
      </c>
      <c r="F29" s="21">
        <v>127</v>
      </c>
      <c r="G29" s="21">
        <v>18</v>
      </c>
      <c r="H29" s="21">
        <v>4</v>
      </c>
      <c r="I29" s="26">
        <v>6</v>
      </c>
      <c r="J29" s="26">
        <v>1</v>
      </c>
    </row>
    <row r="30" spans="1:15" x14ac:dyDescent="0.35">
      <c r="A30" s="123"/>
      <c r="B30" s="123"/>
      <c r="C30" s="124"/>
      <c r="D30" s="30" t="s">
        <v>174</v>
      </c>
      <c r="E30" s="31" t="s">
        <v>6</v>
      </c>
      <c r="F30" s="21">
        <v>53</v>
      </c>
      <c r="G30" s="21">
        <v>17</v>
      </c>
      <c r="H30" s="26">
        <v>0</v>
      </c>
      <c r="I30" s="21">
        <v>0</v>
      </c>
      <c r="J30" s="26">
        <v>0</v>
      </c>
    </row>
    <row r="31" spans="1:15" x14ac:dyDescent="0.35">
      <c r="A31" s="123"/>
      <c r="B31" s="123"/>
      <c r="C31" s="124"/>
      <c r="D31" s="30" t="s">
        <v>174</v>
      </c>
      <c r="E31" s="31" t="s">
        <v>7</v>
      </c>
      <c r="F31" s="21">
        <v>121</v>
      </c>
      <c r="G31" s="21">
        <v>17</v>
      </c>
      <c r="H31" s="26">
        <v>0</v>
      </c>
      <c r="I31" s="21">
        <v>2</v>
      </c>
      <c r="J31" s="26">
        <v>0</v>
      </c>
    </row>
    <row r="32" spans="1:15" x14ac:dyDescent="0.35">
      <c r="A32" s="123"/>
      <c r="B32" s="123"/>
      <c r="C32" s="124"/>
      <c r="D32" s="30" t="s">
        <v>174</v>
      </c>
      <c r="E32" s="31" t="s">
        <v>8</v>
      </c>
      <c r="F32" s="21">
        <v>309</v>
      </c>
      <c r="G32" s="21">
        <v>153</v>
      </c>
      <c r="H32" s="21">
        <v>8</v>
      </c>
      <c r="I32" s="26">
        <v>10</v>
      </c>
      <c r="J32" s="21">
        <v>0</v>
      </c>
    </row>
    <row r="33" spans="1:15" x14ac:dyDescent="0.35">
      <c r="A33" s="123"/>
      <c r="B33" s="123"/>
      <c r="C33" s="124"/>
      <c r="D33" s="30" t="s">
        <v>174</v>
      </c>
      <c r="E33" s="31" t="s">
        <v>15</v>
      </c>
      <c r="F33" s="21">
        <v>1</v>
      </c>
      <c r="G33" s="26">
        <v>0</v>
      </c>
      <c r="H33" s="26">
        <v>0</v>
      </c>
      <c r="I33" s="26">
        <v>0</v>
      </c>
      <c r="J33" s="26">
        <v>0</v>
      </c>
      <c r="K33" s="2">
        <f>SUM(F25:F33)</f>
        <v>1509</v>
      </c>
      <c r="L33" s="2">
        <f t="shared" ref="L33:O33" si="2">SUM(G25:G33)</f>
        <v>455</v>
      </c>
      <c r="M33" s="2">
        <f t="shared" si="2"/>
        <v>100</v>
      </c>
      <c r="N33" s="2">
        <f t="shared" si="2"/>
        <v>50</v>
      </c>
      <c r="O33" s="2">
        <f t="shared" si="2"/>
        <v>9</v>
      </c>
    </row>
    <row r="34" spans="1:15" x14ac:dyDescent="0.35">
      <c r="A34" s="100" t="s">
        <v>396</v>
      </c>
      <c r="B34" s="100" t="s">
        <v>397</v>
      </c>
      <c r="C34" s="101">
        <v>4607</v>
      </c>
      <c r="D34" s="30" t="s">
        <v>175</v>
      </c>
      <c r="E34" s="31" t="s">
        <v>0</v>
      </c>
      <c r="F34" s="25">
        <v>2</v>
      </c>
      <c r="G34" s="25">
        <v>19</v>
      </c>
      <c r="H34" s="25">
        <v>2</v>
      </c>
      <c r="I34" s="25">
        <v>0</v>
      </c>
      <c r="J34" s="27">
        <v>0</v>
      </c>
    </row>
    <row r="35" spans="1:15" x14ac:dyDescent="0.35">
      <c r="A35" s="72"/>
      <c r="B35" s="72"/>
      <c r="C35" s="102"/>
      <c r="D35" s="30" t="s">
        <v>175</v>
      </c>
      <c r="E35" s="31" t="s">
        <v>17</v>
      </c>
      <c r="F35" s="25">
        <v>47</v>
      </c>
      <c r="G35" s="25">
        <v>48</v>
      </c>
      <c r="H35" s="25">
        <v>7</v>
      </c>
      <c r="I35" s="25">
        <v>1</v>
      </c>
      <c r="J35" s="25">
        <v>0</v>
      </c>
    </row>
    <row r="36" spans="1:15" x14ac:dyDescent="0.35">
      <c r="A36" s="72"/>
      <c r="B36" s="72"/>
      <c r="C36" s="102"/>
      <c r="D36" s="30" t="s">
        <v>175</v>
      </c>
      <c r="E36" s="31" t="s">
        <v>2</v>
      </c>
      <c r="F36" s="25">
        <v>107</v>
      </c>
      <c r="G36" s="25">
        <v>52</v>
      </c>
      <c r="H36" s="25">
        <v>3</v>
      </c>
      <c r="I36" s="25">
        <v>14</v>
      </c>
      <c r="J36" s="27">
        <v>0</v>
      </c>
    </row>
    <row r="37" spans="1:15" x14ac:dyDescent="0.35">
      <c r="A37" s="72"/>
      <c r="B37" s="72"/>
      <c r="C37" s="102"/>
      <c r="D37" s="30" t="s">
        <v>175</v>
      </c>
      <c r="E37" s="31" t="s">
        <v>3</v>
      </c>
      <c r="F37" s="25">
        <v>190</v>
      </c>
      <c r="G37" s="25">
        <v>100</v>
      </c>
      <c r="H37" s="25">
        <v>16</v>
      </c>
      <c r="I37" s="25">
        <v>11</v>
      </c>
      <c r="J37" s="25">
        <v>1</v>
      </c>
    </row>
    <row r="38" spans="1:15" x14ac:dyDescent="0.35">
      <c r="A38" s="72"/>
      <c r="B38" s="72"/>
      <c r="C38" s="102"/>
      <c r="D38" s="30" t="s">
        <v>175</v>
      </c>
      <c r="E38" s="31" t="s">
        <v>4</v>
      </c>
      <c r="F38" s="25">
        <v>109</v>
      </c>
      <c r="G38" s="25">
        <v>41</v>
      </c>
      <c r="H38" s="25">
        <v>7</v>
      </c>
      <c r="I38" s="25">
        <v>10</v>
      </c>
      <c r="J38" s="27">
        <v>0</v>
      </c>
    </row>
    <row r="39" spans="1:15" x14ac:dyDescent="0.35">
      <c r="A39" s="72"/>
      <c r="B39" s="72"/>
      <c r="C39" s="102"/>
      <c r="D39" s="30" t="s">
        <v>175</v>
      </c>
      <c r="E39" s="31" t="s">
        <v>5</v>
      </c>
      <c r="F39" s="25">
        <v>186</v>
      </c>
      <c r="G39" s="25">
        <v>108</v>
      </c>
      <c r="H39" s="25">
        <v>13</v>
      </c>
      <c r="I39" s="25">
        <v>13</v>
      </c>
      <c r="J39" s="27">
        <v>3</v>
      </c>
    </row>
    <row r="40" spans="1:15" x14ac:dyDescent="0.35">
      <c r="A40" s="72"/>
      <c r="B40" s="72"/>
      <c r="C40" s="102"/>
      <c r="D40" s="30" t="s">
        <v>175</v>
      </c>
      <c r="E40" s="31" t="s">
        <v>6</v>
      </c>
      <c r="F40" s="25">
        <v>127</v>
      </c>
      <c r="G40" s="25">
        <v>20</v>
      </c>
      <c r="H40" s="25">
        <v>4</v>
      </c>
      <c r="I40" s="25">
        <v>7</v>
      </c>
      <c r="J40" s="27">
        <v>0</v>
      </c>
    </row>
    <row r="41" spans="1:15" x14ac:dyDescent="0.35">
      <c r="A41" s="72"/>
      <c r="B41" s="72"/>
      <c r="C41" s="102"/>
      <c r="D41" s="30" t="s">
        <v>175</v>
      </c>
      <c r="E41" s="31" t="s">
        <v>7</v>
      </c>
      <c r="F41" s="25">
        <v>119</v>
      </c>
      <c r="G41" s="25">
        <v>18</v>
      </c>
      <c r="H41" s="25">
        <v>7</v>
      </c>
      <c r="I41" s="25">
        <v>1</v>
      </c>
      <c r="J41" s="27">
        <v>0</v>
      </c>
    </row>
    <row r="42" spans="1:15" x14ac:dyDescent="0.35">
      <c r="A42" s="72"/>
      <c r="B42" s="72"/>
      <c r="C42" s="102"/>
      <c r="D42" s="30" t="s">
        <v>175</v>
      </c>
      <c r="E42" s="31" t="s">
        <v>8</v>
      </c>
      <c r="F42" s="25">
        <v>77</v>
      </c>
      <c r="G42" s="25">
        <v>18</v>
      </c>
      <c r="H42" s="25">
        <v>4</v>
      </c>
      <c r="I42" s="25">
        <v>5</v>
      </c>
      <c r="J42" s="27">
        <v>0</v>
      </c>
    </row>
    <row r="43" spans="1:15" x14ac:dyDescent="0.35">
      <c r="A43" s="72"/>
      <c r="B43" s="72"/>
      <c r="C43" s="102"/>
      <c r="D43" s="30" t="s">
        <v>175</v>
      </c>
      <c r="E43" s="31" t="s">
        <v>9</v>
      </c>
      <c r="F43" s="25">
        <v>278</v>
      </c>
      <c r="G43" s="25">
        <v>53</v>
      </c>
      <c r="H43" s="25">
        <v>15</v>
      </c>
      <c r="I43" s="25">
        <v>9</v>
      </c>
      <c r="J43" s="27">
        <v>4</v>
      </c>
    </row>
    <row r="44" spans="1:15" x14ac:dyDescent="0.35">
      <c r="A44" s="72"/>
      <c r="B44" s="72"/>
      <c r="C44" s="102"/>
      <c r="D44" s="30" t="s">
        <v>175</v>
      </c>
      <c r="E44" s="31" t="s">
        <v>11</v>
      </c>
      <c r="F44" s="25">
        <v>238</v>
      </c>
      <c r="G44" s="25">
        <v>33</v>
      </c>
      <c r="H44" s="25">
        <v>3</v>
      </c>
      <c r="I44" s="25">
        <v>5</v>
      </c>
      <c r="J44" s="25">
        <v>1</v>
      </c>
    </row>
    <row r="45" spans="1:15" x14ac:dyDescent="0.35">
      <c r="A45" s="72"/>
      <c r="B45" s="72"/>
      <c r="C45" s="102"/>
      <c r="D45" s="30" t="s">
        <v>175</v>
      </c>
      <c r="E45" s="31" t="s">
        <v>12</v>
      </c>
      <c r="F45" s="25">
        <v>420</v>
      </c>
      <c r="G45" s="25">
        <v>57</v>
      </c>
      <c r="H45" s="25">
        <v>9</v>
      </c>
      <c r="I45" s="27">
        <v>21</v>
      </c>
      <c r="J45" s="27">
        <v>2</v>
      </c>
    </row>
    <row r="46" spans="1:15" x14ac:dyDescent="0.35">
      <c r="A46" s="72"/>
      <c r="B46" s="72"/>
      <c r="C46" s="102"/>
      <c r="D46" s="30" t="s">
        <v>175</v>
      </c>
      <c r="E46" s="31" t="s">
        <v>15</v>
      </c>
      <c r="F46" s="25">
        <v>0</v>
      </c>
      <c r="G46" s="25">
        <v>5</v>
      </c>
      <c r="H46" s="25">
        <v>1</v>
      </c>
      <c r="I46" s="27">
        <v>0</v>
      </c>
      <c r="J46" s="27">
        <v>0</v>
      </c>
      <c r="K46" s="2">
        <f>SUM(F34:F46)</f>
        <v>1900</v>
      </c>
      <c r="L46" s="2">
        <f t="shared" ref="L46:O46" si="3">SUM(G34:G46)</f>
        <v>572</v>
      </c>
      <c r="M46" s="2">
        <f t="shared" si="3"/>
        <v>91</v>
      </c>
      <c r="N46" s="2">
        <f t="shared" si="3"/>
        <v>97</v>
      </c>
      <c r="O46" s="2">
        <f t="shared" si="3"/>
        <v>11</v>
      </c>
    </row>
    <row r="47" spans="1:15" x14ac:dyDescent="0.35">
      <c r="A47" s="121" t="s">
        <v>398</v>
      </c>
      <c r="B47" s="121" t="s">
        <v>399</v>
      </c>
      <c r="C47" s="122">
        <v>2070</v>
      </c>
      <c r="D47" s="30" t="s">
        <v>176</v>
      </c>
      <c r="E47" s="31" t="s">
        <v>0</v>
      </c>
      <c r="F47" s="21">
        <v>1</v>
      </c>
      <c r="G47" s="26">
        <v>0</v>
      </c>
      <c r="H47" s="26">
        <v>0</v>
      </c>
      <c r="I47" s="21">
        <v>0</v>
      </c>
      <c r="J47" s="26">
        <v>0</v>
      </c>
    </row>
    <row r="48" spans="1:15" x14ac:dyDescent="0.35">
      <c r="A48" s="123"/>
      <c r="B48" s="123"/>
      <c r="C48" s="124"/>
      <c r="D48" s="30" t="s">
        <v>176</v>
      </c>
      <c r="E48" s="31" t="s">
        <v>17</v>
      </c>
      <c r="F48" s="21">
        <v>153</v>
      </c>
      <c r="G48" s="21">
        <v>30</v>
      </c>
      <c r="H48" s="21">
        <v>1</v>
      </c>
      <c r="I48" s="21">
        <v>2</v>
      </c>
      <c r="J48" s="21">
        <v>0</v>
      </c>
    </row>
    <row r="49" spans="1:15" x14ac:dyDescent="0.35">
      <c r="A49" s="123"/>
      <c r="B49" s="123"/>
      <c r="C49" s="124"/>
      <c r="D49" s="30" t="s">
        <v>176</v>
      </c>
      <c r="E49" s="31" t="s">
        <v>2</v>
      </c>
      <c r="F49" s="21">
        <v>106</v>
      </c>
      <c r="G49" s="21">
        <v>34</v>
      </c>
      <c r="H49" s="21">
        <v>2</v>
      </c>
      <c r="I49" s="21">
        <v>3</v>
      </c>
      <c r="J49" s="26">
        <v>2</v>
      </c>
    </row>
    <row r="50" spans="1:15" x14ac:dyDescent="0.35">
      <c r="A50" s="123"/>
      <c r="B50" s="123"/>
      <c r="C50" s="124"/>
      <c r="D50" s="30" t="s">
        <v>176</v>
      </c>
      <c r="E50" s="31" t="s">
        <v>3</v>
      </c>
      <c r="F50" s="21">
        <v>36</v>
      </c>
      <c r="G50" s="21">
        <v>13</v>
      </c>
      <c r="H50" s="21">
        <v>1</v>
      </c>
      <c r="I50" s="21">
        <v>4</v>
      </c>
      <c r="J50" s="26">
        <v>1</v>
      </c>
    </row>
    <row r="51" spans="1:15" x14ac:dyDescent="0.35">
      <c r="A51" s="123"/>
      <c r="B51" s="123"/>
      <c r="C51" s="124"/>
      <c r="D51" s="30" t="s">
        <v>176</v>
      </c>
      <c r="E51" s="31" t="s">
        <v>4</v>
      </c>
      <c r="F51" s="21">
        <v>89</v>
      </c>
      <c r="G51" s="21">
        <v>17</v>
      </c>
      <c r="H51" s="26">
        <v>0</v>
      </c>
      <c r="I51" s="21">
        <v>6</v>
      </c>
      <c r="J51" s="26">
        <v>1</v>
      </c>
    </row>
    <row r="52" spans="1:15" x14ac:dyDescent="0.35">
      <c r="A52" s="123"/>
      <c r="B52" s="123"/>
      <c r="C52" s="124"/>
      <c r="D52" s="30" t="s">
        <v>176</v>
      </c>
      <c r="E52" s="31" t="s">
        <v>5</v>
      </c>
      <c r="F52" s="21">
        <v>71</v>
      </c>
      <c r="G52" s="21">
        <v>8</v>
      </c>
      <c r="H52" s="26">
        <v>0</v>
      </c>
      <c r="I52" s="21">
        <v>2</v>
      </c>
      <c r="J52" s="26">
        <v>0</v>
      </c>
    </row>
    <row r="53" spans="1:15" x14ac:dyDescent="0.35">
      <c r="A53" s="123"/>
      <c r="B53" s="123"/>
      <c r="C53" s="124"/>
      <c r="D53" s="30" t="s">
        <v>176</v>
      </c>
      <c r="E53" s="31" t="s">
        <v>6</v>
      </c>
      <c r="F53" s="21">
        <v>143</v>
      </c>
      <c r="G53" s="21">
        <v>41</v>
      </c>
      <c r="H53" s="21">
        <v>13</v>
      </c>
      <c r="I53" s="21">
        <v>10</v>
      </c>
      <c r="J53" s="26">
        <v>1</v>
      </c>
    </row>
    <row r="54" spans="1:15" x14ac:dyDescent="0.35">
      <c r="A54" s="123"/>
      <c r="B54" s="123"/>
      <c r="C54" s="124"/>
      <c r="D54" s="30" t="s">
        <v>176</v>
      </c>
      <c r="E54" s="31" t="s">
        <v>7</v>
      </c>
      <c r="F54" s="21">
        <v>115</v>
      </c>
      <c r="G54" s="21">
        <v>53</v>
      </c>
      <c r="H54" s="21">
        <v>29</v>
      </c>
      <c r="I54" s="21">
        <v>8</v>
      </c>
      <c r="J54" s="26">
        <v>0</v>
      </c>
    </row>
    <row r="55" spans="1:15" x14ac:dyDescent="0.35">
      <c r="A55" s="123"/>
      <c r="B55" s="123"/>
      <c r="C55" s="124"/>
      <c r="D55" s="30" t="s">
        <v>176</v>
      </c>
      <c r="E55" s="31" t="s">
        <v>8</v>
      </c>
      <c r="F55" s="21">
        <v>67</v>
      </c>
      <c r="G55" s="21">
        <v>27</v>
      </c>
      <c r="H55" s="26">
        <v>0</v>
      </c>
      <c r="I55" s="21">
        <v>4</v>
      </c>
      <c r="J55" s="26">
        <v>0</v>
      </c>
    </row>
    <row r="56" spans="1:15" x14ac:dyDescent="0.35">
      <c r="A56" s="123"/>
      <c r="B56" s="123"/>
      <c r="C56" s="124"/>
      <c r="D56" s="30" t="s">
        <v>176</v>
      </c>
      <c r="E56" s="31" t="s">
        <v>9</v>
      </c>
      <c r="F56" s="21">
        <v>120</v>
      </c>
      <c r="G56" s="21">
        <v>17</v>
      </c>
      <c r="H56" s="21">
        <v>12</v>
      </c>
      <c r="I56" s="21">
        <v>4</v>
      </c>
      <c r="J56" s="21">
        <v>1</v>
      </c>
    </row>
    <row r="57" spans="1:15" x14ac:dyDescent="0.35">
      <c r="A57" s="123"/>
      <c r="B57" s="123"/>
      <c r="C57" s="124"/>
      <c r="D57" s="30" t="s">
        <v>176</v>
      </c>
      <c r="E57" s="31" t="s">
        <v>11</v>
      </c>
      <c r="F57" s="21">
        <v>60</v>
      </c>
      <c r="G57" s="21">
        <v>25</v>
      </c>
      <c r="H57" s="21">
        <v>2</v>
      </c>
      <c r="I57" s="21">
        <v>3</v>
      </c>
      <c r="J57" s="26">
        <v>0</v>
      </c>
    </row>
    <row r="58" spans="1:15" x14ac:dyDescent="0.35">
      <c r="A58" s="123"/>
      <c r="B58" s="123"/>
      <c r="C58" s="124"/>
      <c r="D58" s="30" t="s">
        <v>176</v>
      </c>
      <c r="E58" s="31" t="s">
        <v>12</v>
      </c>
      <c r="F58" s="21">
        <v>67</v>
      </c>
      <c r="G58" s="21">
        <v>31</v>
      </c>
      <c r="H58" s="21">
        <v>13</v>
      </c>
      <c r="I58" s="26">
        <v>3</v>
      </c>
      <c r="J58" s="26">
        <v>0</v>
      </c>
    </row>
    <row r="59" spans="1:15" x14ac:dyDescent="0.35">
      <c r="A59" s="123"/>
      <c r="B59" s="123"/>
      <c r="C59" s="124"/>
      <c r="D59" s="30" t="s">
        <v>176</v>
      </c>
      <c r="E59" s="31" t="s">
        <v>13</v>
      </c>
      <c r="F59" s="21">
        <v>70</v>
      </c>
      <c r="G59" s="21">
        <v>7</v>
      </c>
      <c r="H59" s="21">
        <v>2</v>
      </c>
      <c r="I59" s="21">
        <v>0</v>
      </c>
      <c r="J59" s="26">
        <v>0</v>
      </c>
    </row>
    <row r="60" spans="1:15" x14ac:dyDescent="0.35">
      <c r="A60" s="123"/>
      <c r="B60" s="123"/>
      <c r="C60" s="124"/>
      <c r="D60" s="30" t="s">
        <v>176</v>
      </c>
      <c r="E60" s="31" t="s">
        <v>21</v>
      </c>
      <c r="F60" s="21">
        <v>34</v>
      </c>
      <c r="G60" s="21">
        <v>20</v>
      </c>
      <c r="H60" s="21">
        <v>4</v>
      </c>
      <c r="I60" s="21">
        <v>2</v>
      </c>
      <c r="J60" s="26">
        <v>0</v>
      </c>
      <c r="K60" s="2">
        <f>SUM(F47:F60)</f>
        <v>1132</v>
      </c>
      <c r="L60" s="2">
        <f t="shared" ref="L60:O60" si="4">SUM(G47:G60)</f>
        <v>323</v>
      </c>
      <c r="M60" s="2">
        <f t="shared" si="4"/>
        <v>79</v>
      </c>
      <c r="N60" s="2">
        <f t="shared" si="4"/>
        <v>51</v>
      </c>
      <c r="O60" s="2">
        <f t="shared" si="4"/>
        <v>6</v>
      </c>
    </row>
    <row r="61" spans="1:15" x14ac:dyDescent="0.35">
      <c r="A61" s="100" t="s">
        <v>400</v>
      </c>
      <c r="B61" s="100" t="s">
        <v>401</v>
      </c>
      <c r="C61" s="101">
        <v>2010</v>
      </c>
      <c r="D61" s="30" t="s">
        <v>177</v>
      </c>
      <c r="E61" s="31" t="s">
        <v>17</v>
      </c>
      <c r="F61" s="25">
        <v>115</v>
      </c>
      <c r="G61" s="25">
        <v>20</v>
      </c>
      <c r="H61" s="25">
        <v>10</v>
      </c>
      <c r="I61" s="25">
        <v>3</v>
      </c>
      <c r="J61" s="27">
        <v>0</v>
      </c>
    </row>
    <row r="62" spans="1:15" x14ac:dyDescent="0.35">
      <c r="A62" s="72"/>
      <c r="B62" s="72"/>
      <c r="C62" s="102"/>
      <c r="D62" s="30" t="s">
        <v>177</v>
      </c>
      <c r="E62" s="31" t="s">
        <v>2</v>
      </c>
      <c r="F62" s="25">
        <v>49</v>
      </c>
      <c r="G62" s="25">
        <v>15</v>
      </c>
      <c r="H62" s="25">
        <v>3</v>
      </c>
      <c r="I62" s="25">
        <v>2</v>
      </c>
      <c r="J62" s="25">
        <v>0</v>
      </c>
    </row>
    <row r="63" spans="1:15" x14ac:dyDescent="0.35">
      <c r="A63" s="72"/>
      <c r="B63" s="72"/>
      <c r="C63" s="102"/>
      <c r="D63" s="30" t="s">
        <v>177</v>
      </c>
      <c r="E63" s="31" t="s">
        <v>3</v>
      </c>
      <c r="F63" s="25">
        <v>90</v>
      </c>
      <c r="G63" s="25">
        <v>20</v>
      </c>
      <c r="H63" s="27">
        <v>0</v>
      </c>
      <c r="I63" s="25">
        <v>2</v>
      </c>
      <c r="J63" s="27">
        <v>0</v>
      </c>
    </row>
    <row r="64" spans="1:15" x14ac:dyDescent="0.35">
      <c r="A64" s="72"/>
      <c r="B64" s="72"/>
      <c r="C64" s="102"/>
      <c r="D64" s="30" t="s">
        <v>177</v>
      </c>
      <c r="E64" s="31" t="s">
        <v>4</v>
      </c>
      <c r="F64" s="25">
        <v>196</v>
      </c>
      <c r="G64" s="25">
        <v>42</v>
      </c>
      <c r="H64" s="25">
        <v>1</v>
      </c>
      <c r="I64" s="25">
        <v>6</v>
      </c>
      <c r="J64" s="27">
        <v>1</v>
      </c>
    </row>
    <row r="65" spans="1:15" x14ac:dyDescent="0.35">
      <c r="A65" s="72"/>
      <c r="B65" s="72"/>
      <c r="C65" s="102"/>
      <c r="D65" s="30" t="s">
        <v>177</v>
      </c>
      <c r="E65" s="31" t="s">
        <v>5</v>
      </c>
      <c r="F65" s="25">
        <v>88</v>
      </c>
      <c r="G65" s="25">
        <v>31</v>
      </c>
      <c r="H65" s="25">
        <v>2</v>
      </c>
      <c r="I65" s="25">
        <v>5</v>
      </c>
      <c r="J65" s="27">
        <v>0</v>
      </c>
      <c r="K65" s="2">
        <f>SUM(F61:F65)</f>
        <v>538</v>
      </c>
      <c r="L65" s="2">
        <f t="shared" ref="L65:O65" si="5">SUM(G61:G65)</f>
        <v>128</v>
      </c>
      <c r="M65" s="2">
        <f t="shared" si="5"/>
        <v>16</v>
      </c>
      <c r="N65" s="2">
        <f t="shared" si="5"/>
        <v>18</v>
      </c>
      <c r="O65" s="2">
        <f t="shared" si="5"/>
        <v>1</v>
      </c>
    </row>
    <row r="66" spans="1:15" x14ac:dyDescent="0.35">
      <c r="A66" s="121" t="s">
        <v>402</v>
      </c>
      <c r="B66" s="121" t="s">
        <v>403</v>
      </c>
      <c r="C66" s="122">
        <v>2311</v>
      </c>
      <c r="D66" s="30" t="s">
        <v>178</v>
      </c>
      <c r="E66" s="31" t="s">
        <v>17</v>
      </c>
      <c r="F66" s="21">
        <v>42</v>
      </c>
      <c r="G66" s="21">
        <v>20</v>
      </c>
      <c r="H66" s="21">
        <v>14</v>
      </c>
      <c r="I66" s="21">
        <v>4</v>
      </c>
      <c r="J66" s="26">
        <v>1</v>
      </c>
    </row>
    <row r="67" spans="1:15" x14ac:dyDescent="0.35">
      <c r="A67" s="123"/>
      <c r="B67" s="123"/>
      <c r="C67" s="124"/>
      <c r="D67" s="30" t="s">
        <v>178</v>
      </c>
      <c r="E67" s="31" t="s">
        <v>2</v>
      </c>
      <c r="F67" s="21">
        <v>37</v>
      </c>
      <c r="G67" s="21">
        <v>19</v>
      </c>
      <c r="H67" s="21">
        <v>7</v>
      </c>
      <c r="I67" s="21">
        <v>1</v>
      </c>
      <c r="J67" s="26">
        <v>0</v>
      </c>
    </row>
    <row r="68" spans="1:15" x14ac:dyDescent="0.35">
      <c r="A68" s="123"/>
      <c r="B68" s="123"/>
      <c r="C68" s="124"/>
      <c r="D68" s="30" t="s">
        <v>178</v>
      </c>
      <c r="E68" s="31" t="s">
        <v>3</v>
      </c>
      <c r="F68" s="21">
        <v>65</v>
      </c>
      <c r="G68" s="21">
        <v>31</v>
      </c>
      <c r="H68" s="21">
        <v>1</v>
      </c>
      <c r="I68" s="21">
        <v>7</v>
      </c>
      <c r="J68" s="26">
        <v>1</v>
      </c>
    </row>
    <row r="69" spans="1:15" x14ac:dyDescent="0.35">
      <c r="A69" s="123"/>
      <c r="B69" s="123"/>
      <c r="C69" s="124"/>
      <c r="D69" s="30" t="s">
        <v>178</v>
      </c>
      <c r="E69" s="31" t="s">
        <v>4</v>
      </c>
      <c r="F69" s="21">
        <v>25</v>
      </c>
      <c r="G69" s="21">
        <v>15</v>
      </c>
      <c r="H69" s="21">
        <v>0</v>
      </c>
      <c r="I69" s="21">
        <v>2</v>
      </c>
      <c r="J69" s="26">
        <v>0</v>
      </c>
    </row>
    <row r="70" spans="1:15" x14ac:dyDescent="0.35">
      <c r="A70" s="123"/>
      <c r="B70" s="123"/>
      <c r="C70" s="124"/>
      <c r="D70" s="30" t="s">
        <v>178</v>
      </c>
      <c r="E70" s="31" t="s">
        <v>5</v>
      </c>
      <c r="F70" s="21">
        <v>79</v>
      </c>
      <c r="G70" s="21">
        <v>19</v>
      </c>
      <c r="H70" s="21">
        <v>3</v>
      </c>
      <c r="I70" s="21">
        <v>4</v>
      </c>
      <c r="J70" s="26">
        <v>0</v>
      </c>
    </row>
    <row r="71" spans="1:15" x14ac:dyDescent="0.35">
      <c r="A71" s="123"/>
      <c r="B71" s="123"/>
      <c r="C71" s="124"/>
      <c r="D71" s="30" t="s">
        <v>178</v>
      </c>
      <c r="E71" s="31" t="s">
        <v>6</v>
      </c>
      <c r="F71" s="21">
        <v>131</v>
      </c>
      <c r="G71" s="21">
        <v>33</v>
      </c>
      <c r="H71" s="21">
        <v>2</v>
      </c>
      <c r="I71" s="21">
        <v>4</v>
      </c>
      <c r="J71" s="26">
        <v>1</v>
      </c>
    </row>
    <row r="72" spans="1:15" x14ac:dyDescent="0.35">
      <c r="A72" s="123"/>
      <c r="B72" s="123"/>
      <c r="C72" s="124"/>
      <c r="D72" s="30" t="s">
        <v>178</v>
      </c>
      <c r="E72" s="31" t="s">
        <v>7</v>
      </c>
      <c r="F72" s="21">
        <v>67</v>
      </c>
      <c r="G72" s="21">
        <v>25</v>
      </c>
      <c r="H72" s="21">
        <v>4</v>
      </c>
      <c r="I72" s="21">
        <v>3</v>
      </c>
      <c r="J72" s="26">
        <v>0</v>
      </c>
    </row>
    <row r="73" spans="1:15" x14ac:dyDescent="0.35">
      <c r="A73" s="123"/>
      <c r="B73" s="123"/>
      <c r="C73" s="124"/>
      <c r="D73" s="30" t="s">
        <v>178</v>
      </c>
      <c r="E73" s="31" t="s">
        <v>8</v>
      </c>
      <c r="F73" s="21">
        <v>156</v>
      </c>
      <c r="G73" s="21">
        <v>22</v>
      </c>
      <c r="H73" s="26">
        <v>1</v>
      </c>
      <c r="I73" s="21">
        <v>4</v>
      </c>
      <c r="J73" s="26">
        <v>0</v>
      </c>
    </row>
    <row r="74" spans="1:15" x14ac:dyDescent="0.35">
      <c r="A74" s="123"/>
      <c r="B74" s="123"/>
      <c r="C74" s="124"/>
      <c r="D74" s="30" t="s">
        <v>178</v>
      </c>
      <c r="E74" s="31" t="s">
        <v>9</v>
      </c>
      <c r="F74" s="21">
        <v>90</v>
      </c>
      <c r="G74" s="21">
        <v>24</v>
      </c>
      <c r="H74" s="26">
        <v>0</v>
      </c>
      <c r="I74" s="21">
        <v>3</v>
      </c>
      <c r="J74" s="21">
        <v>1</v>
      </c>
    </row>
    <row r="75" spans="1:15" x14ac:dyDescent="0.35">
      <c r="A75" s="123"/>
      <c r="B75" s="123"/>
      <c r="C75" s="124"/>
      <c r="D75" s="30" t="s">
        <v>178</v>
      </c>
      <c r="E75" s="31" t="s">
        <v>11</v>
      </c>
      <c r="F75" s="21">
        <v>63</v>
      </c>
      <c r="G75" s="21">
        <v>8</v>
      </c>
      <c r="H75" s="21">
        <v>2</v>
      </c>
      <c r="I75" s="21">
        <v>2</v>
      </c>
      <c r="J75" s="26">
        <v>0</v>
      </c>
    </row>
    <row r="76" spans="1:15" x14ac:dyDescent="0.35">
      <c r="A76" s="123"/>
      <c r="B76" s="123"/>
      <c r="C76" s="124"/>
      <c r="D76" s="30" t="s">
        <v>178</v>
      </c>
      <c r="E76" s="31" t="s">
        <v>12</v>
      </c>
      <c r="F76" s="21">
        <v>64</v>
      </c>
      <c r="G76" s="21">
        <v>9</v>
      </c>
      <c r="H76" s="26">
        <v>0</v>
      </c>
      <c r="I76" s="21">
        <v>2</v>
      </c>
      <c r="J76" s="26">
        <v>0</v>
      </c>
    </row>
    <row r="77" spans="1:15" x14ac:dyDescent="0.35">
      <c r="A77" s="123"/>
      <c r="B77" s="123"/>
      <c r="C77" s="124"/>
      <c r="D77" s="30" t="s">
        <v>178</v>
      </c>
      <c r="E77" s="31" t="s">
        <v>13</v>
      </c>
      <c r="F77" s="21">
        <v>84</v>
      </c>
      <c r="G77" s="21">
        <v>45</v>
      </c>
      <c r="H77" s="21">
        <v>9</v>
      </c>
      <c r="I77" s="21">
        <v>6</v>
      </c>
      <c r="J77" s="26">
        <v>0</v>
      </c>
      <c r="K77" s="2">
        <f>SUM(F66:F77)</f>
        <v>903</v>
      </c>
      <c r="L77" s="2">
        <f>SUM(G66:G77)</f>
        <v>270</v>
      </c>
      <c r="M77" s="2">
        <f>SUM(H66:H77)</f>
        <v>43</v>
      </c>
      <c r="N77" s="2">
        <f>SUM(I66:I77)</f>
        <v>42</v>
      </c>
      <c r="O77" s="2">
        <f t="shared" ref="O77" si="6">SUM(J66:J77)</f>
        <v>4</v>
      </c>
    </row>
    <row r="78" spans="1:15" x14ac:dyDescent="0.35">
      <c r="A78" s="100" t="s">
        <v>404</v>
      </c>
      <c r="B78" s="100" t="s">
        <v>405</v>
      </c>
      <c r="C78" s="101">
        <v>1662</v>
      </c>
      <c r="D78" s="30" t="s">
        <v>179</v>
      </c>
      <c r="E78" s="31" t="s">
        <v>17</v>
      </c>
      <c r="F78" s="25">
        <v>119</v>
      </c>
      <c r="G78" s="25">
        <v>11</v>
      </c>
      <c r="H78" s="27">
        <v>0</v>
      </c>
      <c r="I78" s="25">
        <v>4</v>
      </c>
      <c r="J78" s="27">
        <v>1</v>
      </c>
    </row>
    <row r="79" spans="1:15" x14ac:dyDescent="0.35">
      <c r="A79" s="72"/>
      <c r="B79" s="72"/>
      <c r="C79" s="102"/>
      <c r="D79" s="30" t="s">
        <v>179</v>
      </c>
      <c r="E79" s="31" t="s">
        <v>2</v>
      </c>
      <c r="F79" s="25">
        <v>117</v>
      </c>
      <c r="G79" s="25">
        <v>26</v>
      </c>
      <c r="H79" s="25">
        <v>11</v>
      </c>
      <c r="I79" s="25">
        <v>5</v>
      </c>
      <c r="J79" s="27">
        <v>1</v>
      </c>
    </row>
    <row r="80" spans="1:15" x14ac:dyDescent="0.35">
      <c r="A80" s="72"/>
      <c r="B80" s="72"/>
      <c r="C80" s="102"/>
      <c r="D80" s="30" t="s">
        <v>179</v>
      </c>
      <c r="E80" s="31" t="s">
        <v>3</v>
      </c>
      <c r="F80" s="25">
        <v>141</v>
      </c>
      <c r="G80" s="25">
        <v>35</v>
      </c>
      <c r="H80" s="25">
        <v>9</v>
      </c>
      <c r="I80" s="25">
        <v>8</v>
      </c>
      <c r="J80" s="27">
        <v>0</v>
      </c>
    </row>
    <row r="81" spans="1:15" x14ac:dyDescent="0.35">
      <c r="A81" s="72"/>
      <c r="B81" s="72"/>
      <c r="C81" s="102"/>
      <c r="D81" s="30" t="s">
        <v>179</v>
      </c>
      <c r="E81" s="31" t="s">
        <v>4</v>
      </c>
      <c r="F81" s="25">
        <v>164</v>
      </c>
      <c r="G81" s="25">
        <v>30</v>
      </c>
      <c r="H81" s="27">
        <v>3</v>
      </c>
      <c r="I81" s="25">
        <v>7</v>
      </c>
      <c r="J81" s="27">
        <v>1</v>
      </c>
    </row>
    <row r="82" spans="1:15" x14ac:dyDescent="0.35">
      <c r="A82" s="72"/>
      <c r="B82" s="72"/>
      <c r="C82" s="102"/>
      <c r="D82" s="30" t="s">
        <v>179</v>
      </c>
      <c r="E82" s="31" t="s">
        <v>5</v>
      </c>
      <c r="F82" s="25">
        <v>35</v>
      </c>
      <c r="G82" s="25">
        <v>17</v>
      </c>
      <c r="H82" s="27">
        <v>0</v>
      </c>
      <c r="I82" s="25">
        <v>1</v>
      </c>
      <c r="J82" s="27">
        <v>0</v>
      </c>
    </row>
    <row r="83" spans="1:15" x14ac:dyDescent="0.35">
      <c r="A83" s="72"/>
      <c r="B83" s="72"/>
      <c r="C83" s="102"/>
      <c r="D83" s="30" t="s">
        <v>179</v>
      </c>
      <c r="E83" s="31" t="s">
        <v>6</v>
      </c>
      <c r="F83" s="25">
        <v>63</v>
      </c>
      <c r="G83" s="25">
        <v>15</v>
      </c>
      <c r="H83" s="27">
        <v>0</v>
      </c>
      <c r="I83" s="25">
        <v>1</v>
      </c>
      <c r="J83" s="27">
        <v>0</v>
      </c>
    </row>
    <row r="84" spans="1:15" x14ac:dyDescent="0.35">
      <c r="A84" s="72"/>
      <c r="B84" s="72"/>
      <c r="C84" s="102"/>
      <c r="D84" s="30" t="s">
        <v>179</v>
      </c>
      <c r="E84" s="31" t="s">
        <v>7</v>
      </c>
      <c r="F84" s="25">
        <v>132</v>
      </c>
      <c r="G84" s="25">
        <v>34</v>
      </c>
      <c r="H84" s="25">
        <v>4</v>
      </c>
      <c r="I84" s="25">
        <v>2</v>
      </c>
      <c r="J84" s="27">
        <v>0</v>
      </c>
      <c r="K84" s="2">
        <f>SUM(F78:F84)</f>
        <v>771</v>
      </c>
      <c r="L84" s="2">
        <f>SUM(G78:G84)</f>
        <v>168</v>
      </c>
      <c r="M84" s="2">
        <f>SUM(H78:H84)</f>
        <v>27</v>
      </c>
      <c r="N84" s="2">
        <f>SUM(I78:I84)</f>
        <v>28</v>
      </c>
      <c r="O84" s="2">
        <f t="shared" ref="O84" si="7">SUM(J78:J84)</f>
        <v>3</v>
      </c>
    </row>
    <row r="85" spans="1:15" x14ac:dyDescent="0.35">
      <c r="A85" s="121" t="s">
        <v>406</v>
      </c>
      <c r="B85" s="121" t="s">
        <v>407</v>
      </c>
      <c r="C85" s="122">
        <v>1143</v>
      </c>
      <c r="D85" s="30" t="s">
        <v>180</v>
      </c>
      <c r="E85" s="31" t="s">
        <v>17</v>
      </c>
      <c r="F85" s="21">
        <v>60</v>
      </c>
      <c r="G85" s="21">
        <v>3</v>
      </c>
      <c r="H85" s="21">
        <v>2</v>
      </c>
      <c r="I85" s="21">
        <v>3</v>
      </c>
      <c r="J85" s="26">
        <v>0</v>
      </c>
    </row>
    <row r="86" spans="1:15" x14ac:dyDescent="0.35">
      <c r="A86" s="123"/>
      <c r="B86" s="123"/>
      <c r="C86" s="124"/>
      <c r="D86" s="30" t="s">
        <v>180</v>
      </c>
      <c r="E86" s="31" t="s">
        <v>2</v>
      </c>
      <c r="F86" s="21">
        <v>125</v>
      </c>
      <c r="G86" s="21">
        <v>34</v>
      </c>
      <c r="H86" s="21">
        <v>1</v>
      </c>
      <c r="I86" s="21">
        <v>3</v>
      </c>
      <c r="J86" s="26">
        <v>0</v>
      </c>
    </row>
    <row r="87" spans="1:15" x14ac:dyDescent="0.35">
      <c r="A87" s="123"/>
      <c r="B87" s="123"/>
      <c r="C87" s="124"/>
      <c r="D87" s="30" t="s">
        <v>180</v>
      </c>
      <c r="E87" s="31" t="s">
        <v>3</v>
      </c>
      <c r="F87" s="21">
        <v>139</v>
      </c>
      <c r="G87" s="21">
        <v>41</v>
      </c>
      <c r="H87" s="21">
        <v>3</v>
      </c>
      <c r="I87" s="21">
        <v>4</v>
      </c>
      <c r="J87" s="26">
        <v>1</v>
      </c>
    </row>
    <row r="88" spans="1:15" x14ac:dyDescent="0.35">
      <c r="A88" s="123"/>
      <c r="B88" s="123"/>
      <c r="C88" s="124"/>
      <c r="D88" s="30" t="s">
        <v>180</v>
      </c>
      <c r="E88" s="31" t="s">
        <v>4</v>
      </c>
      <c r="F88" s="21">
        <v>35</v>
      </c>
      <c r="G88" s="21">
        <v>15</v>
      </c>
      <c r="H88" s="26">
        <v>0</v>
      </c>
      <c r="I88" s="21">
        <v>1</v>
      </c>
      <c r="J88" s="26">
        <v>0</v>
      </c>
    </row>
    <row r="89" spans="1:15" x14ac:dyDescent="0.35">
      <c r="A89" s="123"/>
      <c r="B89" s="123"/>
      <c r="C89" s="124"/>
      <c r="D89" s="30" t="s">
        <v>180</v>
      </c>
      <c r="E89" s="31" t="s">
        <v>5</v>
      </c>
      <c r="F89" s="21">
        <v>54</v>
      </c>
      <c r="G89" s="21">
        <v>14</v>
      </c>
      <c r="H89" s="21">
        <v>1</v>
      </c>
      <c r="I89" s="21">
        <v>0</v>
      </c>
      <c r="J89" s="26">
        <v>0</v>
      </c>
    </row>
    <row r="90" spans="1:15" x14ac:dyDescent="0.35">
      <c r="A90" s="123"/>
      <c r="B90" s="123"/>
      <c r="C90" s="124"/>
      <c r="D90" s="30" t="s">
        <v>180</v>
      </c>
      <c r="E90" s="31" t="s">
        <v>6</v>
      </c>
      <c r="F90" s="21">
        <v>55</v>
      </c>
      <c r="G90" s="21">
        <v>28</v>
      </c>
      <c r="H90" s="21">
        <v>3</v>
      </c>
      <c r="I90" s="21">
        <v>3</v>
      </c>
      <c r="J90" s="26">
        <v>1</v>
      </c>
    </row>
    <row r="91" spans="1:15" x14ac:dyDescent="0.35">
      <c r="A91" s="123"/>
      <c r="B91" s="123"/>
      <c r="C91" s="124"/>
      <c r="D91" s="30" t="s">
        <v>180</v>
      </c>
      <c r="E91" s="31" t="s">
        <v>7</v>
      </c>
      <c r="F91" s="21">
        <v>25</v>
      </c>
      <c r="G91" s="21">
        <v>14</v>
      </c>
      <c r="H91" s="21">
        <v>7</v>
      </c>
      <c r="I91" s="21">
        <v>4</v>
      </c>
      <c r="J91" s="26">
        <v>1</v>
      </c>
    </row>
    <row r="92" spans="1:15" x14ac:dyDescent="0.35">
      <c r="A92" s="123"/>
      <c r="B92" s="123"/>
      <c r="C92" s="124"/>
      <c r="D92" s="30" t="s">
        <v>180</v>
      </c>
      <c r="E92" s="31" t="s">
        <v>8</v>
      </c>
      <c r="F92" s="21">
        <v>24</v>
      </c>
      <c r="G92" s="21">
        <v>11</v>
      </c>
      <c r="H92" s="26">
        <v>0</v>
      </c>
      <c r="I92" s="21">
        <v>1</v>
      </c>
      <c r="J92" s="26">
        <v>0</v>
      </c>
    </row>
    <row r="93" spans="1:15" x14ac:dyDescent="0.35">
      <c r="A93" s="123"/>
      <c r="B93" s="123"/>
      <c r="C93" s="124"/>
      <c r="D93" s="30" t="s">
        <v>180</v>
      </c>
      <c r="E93" s="31" t="s">
        <v>9</v>
      </c>
      <c r="F93" s="21">
        <v>32</v>
      </c>
      <c r="G93" s="21">
        <v>6</v>
      </c>
      <c r="H93" s="26">
        <v>0</v>
      </c>
      <c r="I93" s="21">
        <v>1</v>
      </c>
      <c r="J93" s="26">
        <v>0</v>
      </c>
    </row>
    <row r="94" spans="1:15" x14ac:dyDescent="0.35">
      <c r="A94" s="123"/>
      <c r="B94" s="123"/>
      <c r="C94" s="124"/>
      <c r="D94" s="30" t="s">
        <v>180</v>
      </c>
      <c r="E94" s="31" t="s">
        <v>11</v>
      </c>
      <c r="F94" s="21">
        <v>23</v>
      </c>
      <c r="G94" s="26">
        <v>0</v>
      </c>
      <c r="H94" s="26">
        <v>4</v>
      </c>
      <c r="I94" s="21">
        <v>1</v>
      </c>
      <c r="J94" s="26">
        <v>0</v>
      </c>
      <c r="K94" s="2">
        <f>SUM(F85:F94)</f>
        <v>572</v>
      </c>
      <c r="L94" s="2">
        <f t="shared" ref="L94:O94" si="8">SUM(G85:G94)</f>
        <v>166</v>
      </c>
      <c r="M94" s="2">
        <f t="shared" si="8"/>
        <v>21</v>
      </c>
      <c r="N94" s="2">
        <f t="shared" si="8"/>
        <v>21</v>
      </c>
      <c r="O94" s="2">
        <f t="shared" si="8"/>
        <v>3</v>
      </c>
    </row>
    <row r="95" spans="1:15" x14ac:dyDescent="0.35">
      <c r="A95" s="100" t="s">
        <v>408</v>
      </c>
      <c r="B95" s="100" t="s">
        <v>409</v>
      </c>
      <c r="C95" s="101">
        <v>2857</v>
      </c>
      <c r="D95" s="30" t="s">
        <v>181</v>
      </c>
      <c r="E95" s="31" t="s">
        <v>17</v>
      </c>
      <c r="F95" s="25">
        <v>165</v>
      </c>
      <c r="G95" s="25">
        <v>33</v>
      </c>
      <c r="H95" s="25">
        <v>4</v>
      </c>
      <c r="I95" s="25">
        <v>8</v>
      </c>
      <c r="J95" s="27">
        <v>0</v>
      </c>
    </row>
    <row r="96" spans="1:15" x14ac:dyDescent="0.35">
      <c r="A96" s="72"/>
      <c r="B96" s="72"/>
      <c r="C96" s="102"/>
      <c r="D96" s="30" t="s">
        <v>181</v>
      </c>
      <c r="E96" s="31" t="s">
        <v>2</v>
      </c>
      <c r="F96" s="25">
        <v>135</v>
      </c>
      <c r="G96" s="25">
        <v>28</v>
      </c>
      <c r="H96" s="25">
        <v>14</v>
      </c>
      <c r="I96" s="25">
        <v>4</v>
      </c>
      <c r="J96" s="27">
        <v>2</v>
      </c>
    </row>
    <row r="97" spans="1:15" x14ac:dyDescent="0.35">
      <c r="A97" s="72"/>
      <c r="B97" s="72"/>
      <c r="C97" s="102"/>
      <c r="D97" s="30" t="s">
        <v>181</v>
      </c>
      <c r="E97" s="31" t="s">
        <v>3</v>
      </c>
      <c r="F97" s="25">
        <v>192</v>
      </c>
      <c r="G97" s="25">
        <v>47</v>
      </c>
      <c r="H97" s="25">
        <v>8</v>
      </c>
      <c r="I97" s="25">
        <v>9</v>
      </c>
      <c r="J97" s="27">
        <v>1</v>
      </c>
    </row>
    <row r="98" spans="1:15" x14ac:dyDescent="0.35">
      <c r="A98" s="72"/>
      <c r="B98" s="72"/>
      <c r="C98" s="102"/>
      <c r="D98" s="30" t="s">
        <v>181</v>
      </c>
      <c r="E98" s="31" t="s">
        <v>4</v>
      </c>
      <c r="F98" s="25">
        <v>200</v>
      </c>
      <c r="G98" s="25">
        <v>42</v>
      </c>
      <c r="H98" s="25">
        <v>4</v>
      </c>
      <c r="I98" s="25">
        <v>3</v>
      </c>
      <c r="J98" s="27">
        <v>0</v>
      </c>
    </row>
    <row r="99" spans="1:15" x14ac:dyDescent="0.35">
      <c r="A99" s="72"/>
      <c r="B99" s="72"/>
      <c r="C99" s="102"/>
      <c r="D99" s="30" t="s">
        <v>181</v>
      </c>
      <c r="E99" s="31" t="s">
        <v>5</v>
      </c>
      <c r="F99" s="25">
        <v>230</v>
      </c>
      <c r="G99" s="25">
        <v>29</v>
      </c>
      <c r="H99" s="25">
        <v>16</v>
      </c>
      <c r="I99" s="25">
        <v>7</v>
      </c>
      <c r="J99" s="25">
        <v>1</v>
      </c>
    </row>
    <row r="100" spans="1:15" x14ac:dyDescent="0.35">
      <c r="A100" s="72"/>
      <c r="B100" s="72"/>
      <c r="C100" s="102"/>
      <c r="D100" s="30" t="s">
        <v>181</v>
      </c>
      <c r="E100" s="31" t="s">
        <v>6</v>
      </c>
      <c r="F100" s="25">
        <v>85</v>
      </c>
      <c r="G100" s="25">
        <v>20</v>
      </c>
      <c r="H100" s="25">
        <v>2</v>
      </c>
      <c r="I100" s="27">
        <v>6</v>
      </c>
      <c r="J100" s="27">
        <v>0</v>
      </c>
    </row>
    <row r="101" spans="1:15" x14ac:dyDescent="0.35">
      <c r="A101" s="72"/>
      <c r="B101" s="72"/>
      <c r="C101" s="102"/>
      <c r="D101" s="30" t="s">
        <v>181</v>
      </c>
      <c r="E101" s="31" t="s">
        <v>7</v>
      </c>
      <c r="F101" s="25">
        <v>130</v>
      </c>
      <c r="G101" s="25">
        <v>20</v>
      </c>
      <c r="H101" s="25">
        <v>4</v>
      </c>
      <c r="I101" s="27">
        <v>1</v>
      </c>
      <c r="J101" s="27">
        <v>0</v>
      </c>
      <c r="K101" s="2">
        <f>SUM(F95:F101)</f>
        <v>1137</v>
      </c>
      <c r="L101" s="2">
        <f>SUM(G95:G101)</f>
        <v>219</v>
      </c>
      <c r="M101" s="2">
        <f>SUM(H95:H101)</f>
        <v>52</v>
      </c>
      <c r="N101" s="2">
        <f>SUM(I95:I101)</f>
        <v>38</v>
      </c>
      <c r="O101" s="2">
        <f t="shared" ref="O101" si="9">SUM(J95:J101)</f>
        <v>4</v>
      </c>
    </row>
    <row r="102" spans="1:15" x14ac:dyDescent="0.35">
      <c r="A102" s="121" t="s">
        <v>410</v>
      </c>
      <c r="B102" s="121" t="s">
        <v>411</v>
      </c>
      <c r="C102" s="122">
        <v>3218</v>
      </c>
      <c r="D102" s="30" t="s">
        <v>182</v>
      </c>
      <c r="E102" s="31" t="s">
        <v>17</v>
      </c>
      <c r="F102" s="21">
        <v>61</v>
      </c>
      <c r="G102" s="21">
        <v>32</v>
      </c>
      <c r="H102" s="21">
        <v>6</v>
      </c>
      <c r="I102" s="21">
        <v>1</v>
      </c>
      <c r="J102" s="21">
        <v>0</v>
      </c>
    </row>
    <row r="103" spans="1:15" x14ac:dyDescent="0.35">
      <c r="A103" s="123"/>
      <c r="B103" s="123"/>
      <c r="C103" s="124"/>
      <c r="D103" s="30" t="s">
        <v>182</v>
      </c>
      <c r="E103" s="31" t="s">
        <v>2</v>
      </c>
      <c r="F103" s="21">
        <v>211</v>
      </c>
      <c r="G103" s="21">
        <v>79</v>
      </c>
      <c r="H103" s="21">
        <v>11</v>
      </c>
      <c r="I103" s="21">
        <v>19</v>
      </c>
      <c r="J103" s="26">
        <v>1</v>
      </c>
    </row>
    <row r="104" spans="1:15" x14ac:dyDescent="0.35">
      <c r="A104" s="123"/>
      <c r="B104" s="123"/>
      <c r="C104" s="124"/>
      <c r="D104" s="30" t="s">
        <v>182</v>
      </c>
      <c r="E104" s="31" t="s">
        <v>3</v>
      </c>
      <c r="F104" s="21">
        <v>149</v>
      </c>
      <c r="G104" s="21">
        <v>30</v>
      </c>
      <c r="H104" s="26">
        <v>7</v>
      </c>
      <c r="I104" s="21">
        <v>8</v>
      </c>
      <c r="J104" s="26">
        <v>2</v>
      </c>
    </row>
    <row r="105" spans="1:15" x14ac:dyDescent="0.35">
      <c r="A105" s="123"/>
      <c r="B105" s="123"/>
      <c r="C105" s="124"/>
      <c r="D105" s="30" t="s">
        <v>182</v>
      </c>
      <c r="E105" s="31" t="s">
        <v>4</v>
      </c>
      <c r="F105" s="21">
        <v>142</v>
      </c>
      <c r="G105" s="21">
        <v>13</v>
      </c>
      <c r="H105" s="21">
        <v>4</v>
      </c>
      <c r="I105" s="21">
        <v>3</v>
      </c>
      <c r="J105" s="26">
        <v>0</v>
      </c>
    </row>
    <row r="106" spans="1:15" x14ac:dyDescent="0.35">
      <c r="A106" s="123"/>
      <c r="B106" s="123"/>
      <c r="C106" s="124"/>
      <c r="D106" s="30" t="s">
        <v>182</v>
      </c>
      <c r="E106" s="31" t="s">
        <v>5</v>
      </c>
      <c r="F106" s="21">
        <v>145</v>
      </c>
      <c r="G106" s="21">
        <v>24</v>
      </c>
      <c r="H106" s="21">
        <v>2</v>
      </c>
      <c r="I106" s="21">
        <v>3</v>
      </c>
      <c r="J106" s="26">
        <v>2</v>
      </c>
    </row>
    <row r="107" spans="1:15" x14ac:dyDescent="0.35">
      <c r="A107" s="123"/>
      <c r="B107" s="123"/>
      <c r="C107" s="124"/>
      <c r="D107" s="30" t="s">
        <v>182</v>
      </c>
      <c r="E107" s="31" t="s">
        <v>6</v>
      </c>
      <c r="F107" s="21">
        <v>153</v>
      </c>
      <c r="G107" s="21">
        <v>17</v>
      </c>
      <c r="H107" s="21">
        <v>3</v>
      </c>
      <c r="I107" s="21">
        <v>6</v>
      </c>
      <c r="J107" s="26">
        <v>2</v>
      </c>
    </row>
    <row r="108" spans="1:15" x14ac:dyDescent="0.35">
      <c r="A108" s="123"/>
      <c r="B108" s="123"/>
      <c r="C108" s="124"/>
      <c r="D108" s="30" t="s">
        <v>182</v>
      </c>
      <c r="E108" s="31" t="s">
        <v>7</v>
      </c>
      <c r="F108" s="21">
        <v>171</v>
      </c>
      <c r="G108" s="21">
        <v>54</v>
      </c>
      <c r="H108" s="21">
        <v>14</v>
      </c>
      <c r="I108" s="21">
        <v>4</v>
      </c>
      <c r="J108" s="21">
        <v>3</v>
      </c>
      <c r="K108" s="2">
        <f>SUM(F102:F108)</f>
        <v>1032</v>
      </c>
      <c r="L108" s="2">
        <f>SUM(G102:G108)</f>
        <v>249</v>
      </c>
      <c r="M108" s="2">
        <f>SUM(H102:H108)</f>
        <v>47</v>
      </c>
      <c r="N108" s="2">
        <f>SUM(I102:I108)</f>
        <v>44</v>
      </c>
      <c r="O108" s="2">
        <f>SUM(J102:J108)</f>
        <v>10</v>
      </c>
    </row>
    <row r="109" spans="1:15" x14ac:dyDescent="0.35">
      <c r="A109" s="100" t="s">
        <v>412</v>
      </c>
      <c r="B109" s="100" t="s">
        <v>413</v>
      </c>
      <c r="C109" s="101">
        <v>3297</v>
      </c>
      <c r="D109" s="30" t="s">
        <v>183</v>
      </c>
      <c r="E109" s="31" t="s">
        <v>17</v>
      </c>
      <c r="F109" s="25">
        <v>102</v>
      </c>
      <c r="G109" s="25">
        <v>40</v>
      </c>
      <c r="H109" s="25">
        <v>6</v>
      </c>
      <c r="I109" s="25">
        <v>3</v>
      </c>
      <c r="J109" s="27">
        <v>0</v>
      </c>
    </row>
    <row r="110" spans="1:15" x14ac:dyDescent="0.35">
      <c r="A110" s="72"/>
      <c r="B110" s="72"/>
      <c r="C110" s="102"/>
      <c r="D110" s="30" t="s">
        <v>183</v>
      </c>
      <c r="E110" s="31" t="s">
        <v>2</v>
      </c>
      <c r="F110" s="25">
        <v>102</v>
      </c>
      <c r="G110" s="25">
        <v>17</v>
      </c>
      <c r="H110" s="25">
        <v>0</v>
      </c>
      <c r="I110" s="25">
        <v>3</v>
      </c>
      <c r="J110" s="27">
        <v>0</v>
      </c>
    </row>
    <row r="111" spans="1:15" x14ac:dyDescent="0.35">
      <c r="A111" s="72"/>
      <c r="B111" s="72"/>
      <c r="C111" s="102"/>
      <c r="D111" s="30" t="s">
        <v>183</v>
      </c>
      <c r="E111" s="31" t="s">
        <v>3</v>
      </c>
      <c r="F111" s="25">
        <v>177</v>
      </c>
      <c r="G111" s="25">
        <v>9</v>
      </c>
      <c r="H111" s="27">
        <v>2</v>
      </c>
      <c r="I111" s="25">
        <v>2</v>
      </c>
      <c r="J111" s="27">
        <v>0</v>
      </c>
    </row>
    <row r="112" spans="1:15" x14ac:dyDescent="0.35">
      <c r="A112" s="72"/>
      <c r="B112" s="72"/>
      <c r="C112" s="102"/>
      <c r="D112" s="30" t="s">
        <v>183</v>
      </c>
      <c r="E112" s="31" t="s">
        <v>4</v>
      </c>
      <c r="F112" s="25">
        <v>115</v>
      </c>
      <c r="G112" s="25">
        <v>32</v>
      </c>
      <c r="H112" s="25">
        <v>2</v>
      </c>
      <c r="I112" s="25">
        <v>3</v>
      </c>
      <c r="J112" s="27">
        <v>1</v>
      </c>
    </row>
    <row r="113" spans="1:15" x14ac:dyDescent="0.35">
      <c r="A113" s="72"/>
      <c r="B113" s="72"/>
      <c r="C113" s="102"/>
      <c r="D113" s="30" t="s">
        <v>183</v>
      </c>
      <c r="E113" s="31" t="s">
        <v>5</v>
      </c>
      <c r="F113" s="25">
        <v>269</v>
      </c>
      <c r="G113" s="25">
        <v>29</v>
      </c>
      <c r="H113" s="25">
        <v>2</v>
      </c>
      <c r="I113" s="25">
        <v>5</v>
      </c>
      <c r="J113" s="27">
        <v>0</v>
      </c>
    </row>
    <row r="114" spans="1:15" x14ac:dyDescent="0.35">
      <c r="A114" s="72"/>
      <c r="B114" s="72"/>
      <c r="C114" s="102"/>
      <c r="D114" s="30" t="s">
        <v>183</v>
      </c>
      <c r="E114" s="31" t="s">
        <v>6</v>
      </c>
      <c r="F114" s="25">
        <v>104</v>
      </c>
      <c r="G114" s="25">
        <v>19</v>
      </c>
      <c r="H114" s="25">
        <v>5</v>
      </c>
      <c r="I114" s="25">
        <v>6</v>
      </c>
      <c r="J114" s="25">
        <v>1</v>
      </c>
    </row>
    <row r="115" spans="1:15" x14ac:dyDescent="0.35">
      <c r="A115" s="72"/>
      <c r="B115" s="72"/>
      <c r="C115" s="102"/>
      <c r="D115" s="30" t="s">
        <v>183</v>
      </c>
      <c r="E115" s="31" t="s">
        <v>7</v>
      </c>
      <c r="F115" s="25">
        <v>97</v>
      </c>
      <c r="G115" s="25">
        <v>26</v>
      </c>
      <c r="H115" s="25">
        <v>0</v>
      </c>
      <c r="I115" s="25">
        <v>2</v>
      </c>
      <c r="J115" s="27">
        <v>1</v>
      </c>
    </row>
    <row r="116" spans="1:15" x14ac:dyDescent="0.35">
      <c r="A116" s="72"/>
      <c r="B116" s="72"/>
      <c r="C116" s="102"/>
      <c r="D116" s="30" t="s">
        <v>183</v>
      </c>
      <c r="E116" s="31" t="s">
        <v>8</v>
      </c>
      <c r="F116" s="25">
        <v>138</v>
      </c>
      <c r="G116" s="25">
        <v>31</v>
      </c>
      <c r="H116" s="27">
        <v>6</v>
      </c>
      <c r="I116" s="27">
        <v>3</v>
      </c>
      <c r="J116" s="27">
        <v>1</v>
      </c>
    </row>
    <row r="117" spans="1:15" x14ac:dyDescent="0.35">
      <c r="A117" s="72"/>
      <c r="B117" s="72"/>
      <c r="C117" s="102"/>
      <c r="D117" s="30" t="s">
        <v>183</v>
      </c>
      <c r="E117" s="31" t="s">
        <v>9</v>
      </c>
      <c r="F117" s="25">
        <v>24</v>
      </c>
      <c r="G117" s="25">
        <v>4</v>
      </c>
      <c r="H117" s="25">
        <v>0</v>
      </c>
      <c r="I117" s="27">
        <v>0</v>
      </c>
      <c r="J117" s="27">
        <v>0</v>
      </c>
    </row>
    <row r="118" spans="1:15" x14ac:dyDescent="0.35">
      <c r="A118" s="72"/>
      <c r="B118" s="72"/>
      <c r="C118" s="102"/>
      <c r="D118" s="30" t="s">
        <v>183</v>
      </c>
      <c r="E118" s="31" t="s">
        <v>11</v>
      </c>
      <c r="F118" s="25">
        <v>62</v>
      </c>
      <c r="G118" s="25">
        <v>1</v>
      </c>
      <c r="H118" s="27">
        <v>3</v>
      </c>
      <c r="I118" s="25">
        <v>0</v>
      </c>
      <c r="J118" s="27">
        <v>0</v>
      </c>
      <c r="K118" s="2">
        <f>SUM(F109:F118)</f>
        <v>1190</v>
      </c>
      <c r="L118" s="2">
        <f>SUM(G109:G118)</f>
        <v>208</v>
      </c>
      <c r="M118" s="2">
        <f>SUM(H109:H118)</f>
        <v>26</v>
      </c>
      <c r="N118" s="2">
        <f>SUM(I109:I118)</f>
        <v>27</v>
      </c>
      <c r="O118" s="2">
        <f t="shared" ref="O118" si="10">SUM(J109:J118)</f>
        <v>4</v>
      </c>
    </row>
    <row r="119" spans="1:15" x14ac:dyDescent="0.35">
      <c r="A119" s="121" t="s">
        <v>414</v>
      </c>
      <c r="B119" s="121" t="s">
        <v>415</v>
      </c>
      <c r="C119" s="122">
        <v>2097</v>
      </c>
      <c r="D119" s="30" t="s">
        <v>184</v>
      </c>
      <c r="E119" s="31" t="s">
        <v>17</v>
      </c>
      <c r="F119" s="21">
        <v>74</v>
      </c>
      <c r="G119" s="21">
        <v>4</v>
      </c>
      <c r="H119" s="21">
        <v>0</v>
      </c>
      <c r="I119" s="21">
        <v>2</v>
      </c>
      <c r="J119" s="26">
        <v>1</v>
      </c>
    </row>
    <row r="120" spans="1:15" x14ac:dyDescent="0.35">
      <c r="A120" s="123"/>
      <c r="B120" s="123"/>
      <c r="C120" s="124"/>
      <c r="D120" s="30" t="s">
        <v>184</v>
      </c>
      <c r="E120" s="31" t="s">
        <v>2</v>
      </c>
      <c r="F120" s="21">
        <v>79</v>
      </c>
      <c r="G120" s="21">
        <v>27</v>
      </c>
      <c r="H120" s="26">
        <v>0</v>
      </c>
      <c r="I120" s="21">
        <v>0</v>
      </c>
      <c r="J120" s="26">
        <v>0</v>
      </c>
    </row>
    <row r="121" spans="1:15" x14ac:dyDescent="0.35">
      <c r="A121" s="123"/>
      <c r="B121" s="123"/>
      <c r="C121" s="124"/>
      <c r="D121" s="30" t="s">
        <v>184</v>
      </c>
      <c r="E121" s="31" t="s">
        <v>3</v>
      </c>
      <c r="F121" s="21">
        <v>97</v>
      </c>
      <c r="G121" s="21">
        <v>34</v>
      </c>
      <c r="H121" s="26">
        <v>1</v>
      </c>
      <c r="I121" s="21">
        <v>5</v>
      </c>
      <c r="J121" s="21">
        <v>0</v>
      </c>
    </row>
    <row r="122" spans="1:15" x14ac:dyDescent="0.35">
      <c r="A122" s="123"/>
      <c r="B122" s="123"/>
      <c r="C122" s="124"/>
      <c r="D122" s="30" t="s">
        <v>184</v>
      </c>
      <c r="E122" s="31" t="s">
        <v>4</v>
      </c>
      <c r="F122" s="21">
        <v>80</v>
      </c>
      <c r="G122" s="21">
        <v>23</v>
      </c>
      <c r="H122" s="21">
        <v>5</v>
      </c>
      <c r="I122" s="21">
        <v>3</v>
      </c>
      <c r="J122" s="26">
        <v>0</v>
      </c>
    </row>
    <row r="123" spans="1:15" x14ac:dyDescent="0.35">
      <c r="A123" s="123"/>
      <c r="B123" s="123"/>
      <c r="C123" s="124"/>
      <c r="D123" s="30" t="s">
        <v>184</v>
      </c>
      <c r="E123" s="31" t="s">
        <v>5</v>
      </c>
      <c r="F123" s="21">
        <v>88</v>
      </c>
      <c r="G123" s="21">
        <v>15</v>
      </c>
      <c r="H123" s="21">
        <v>0</v>
      </c>
      <c r="I123" s="21">
        <v>1</v>
      </c>
      <c r="J123" s="21">
        <v>0</v>
      </c>
    </row>
    <row r="124" spans="1:15" x14ac:dyDescent="0.35">
      <c r="A124" s="123"/>
      <c r="B124" s="123"/>
      <c r="C124" s="124"/>
      <c r="D124" s="30" t="s">
        <v>184</v>
      </c>
      <c r="E124" s="31" t="s">
        <v>6</v>
      </c>
      <c r="F124" s="21">
        <v>102</v>
      </c>
      <c r="G124" s="21">
        <v>19</v>
      </c>
      <c r="H124" s="21">
        <v>6</v>
      </c>
      <c r="I124" s="21">
        <v>3</v>
      </c>
      <c r="J124" s="26">
        <v>0</v>
      </c>
    </row>
    <row r="125" spans="1:15" x14ac:dyDescent="0.35">
      <c r="A125" s="123"/>
      <c r="B125" s="123"/>
      <c r="C125" s="124"/>
      <c r="D125" s="30" t="s">
        <v>184</v>
      </c>
      <c r="E125" s="31" t="s">
        <v>7</v>
      </c>
      <c r="F125" s="21">
        <v>115</v>
      </c>
      <c r="G125" s="21">
        <v>10</v>
      </c>
      <c r="H125" s="21">
        <v>4</v>
      </c>
      <c r="I125" s="26">
        <v>2</v>
      </c>
      <c r="J125" s="21">
        <v>2</v>
      </c>
    </row>
    <row r="126" spans="1:15" x14ac:dyDescent="0.35">
      <c r="A126" s="123"/>
      <c r="B126" s="123"/>
      <c r="C126" s="124"/>
      <c r="D126" s="30" t="s">
        <v>184</v>
      </c>
      <c r="E126" s="31" t="s">
        <v>8</v>
      </c>
      <c r="F126" s="21">
        <v>153</v>
      </c>
      <c r="G126" s="21">
        <v>7</v>
      </c>
      <c r="H126" s="26">
        <v>0</v>
      </c>
      <c r="I126" s="21">
        <v>0</v>
      </c>
      <c r="J126" s="26">
        <v>1</v>
      </c>
    </row>
    <row r="127" spans="1:15" x14ac:dyDescent="0.35">
      <c r="A127" s="123"/>
      <c r="B127" s="123"/>
      <c r="C127" s="124"/>
      <c r="D127" s="30" t="s">
        <v>184</v>
      </c>
      <c r="E127" s="31" t="s">
        <v>9</v>
      </c>
      <c r="F127" s="21">
        <v>164</v>
      </c>
      <c r="G127" s="21">
        <v>16</v>
      </c>
      <c r="H127" s="26">
        <v>0</v>
      </c>
      <c r="I127" s="21">
        <v>3</v>
      </c>
      <c r="J127" s="21">
        <v>2</v>
      </c>
      <c r="K127" s="2">
        <f>SUM(F119:F127)</f>
        <v>952</v>
      </c>
      <c r="L127" s="2">
        <f t="shared" ref="L127:O127" si="11">SUM(G119:G127)</f>
        <v>155</v>
      </c>
      <c r="M127" s="2">
        <f t="shared" si="11"/>
        <v>16</v>
      </c>
      <c r="N127" s="2">
        <f t="shared" si="11"/>
        <v>19</v>
      </c>
      <c r="O127" s="2">
        <f t="shared" si="11"/>
        <v>6</v>
      </c>
    </row>
    <row r="128" spans="1:15" x14ac:dyDescent="0.35">
      <c r="A128" s="100" t="s">
        <v>416</v>
      </c>
      <c r="B128" s="100" t="s">
        <v>417</v>
      </c>
      <c r="C128" s="101">
        <v>1734</v>
      </c>
      <c r="D128" s="30" t="s">
        <v>185</v>
      </c>
      <c r="E128" s="31" t="s">
        <v>17</v>
      </c>
      <c r="F128" s="25">
        <v>131</v>
      </c>
      <c r="G128" s="25">
        <v>19</v>
      </c>
      <c r="H128" s="25">
        <v>4</v>
      </c>
      <c r="I128" s="25">
        <v>2</v>
      </c>
      <c r="J128" s="27">
        <v>0</v>
      </c>
    </row>
    <row r="129" spans="1:15" x14ac:dyDescent="0.35">
      <c r="A129" s="72"/>
      <c r="B129" s="72"/>
      <c r="C129" s="102"/>
      <c r="D129" s="30" t="s">
        <v>185</v>
      </c>
      <c r="E129" s="31" t="s">
        <v>2</v>
      </c>
      <c r="F129" s="25">
        <v>61</v>
      </c>
      <c r="G129" s="25">
        <v>30</v>
      </c>
      <c r="H129" s="25">
        <v>4</v>
      </c>
      <c r="I129" s="25">
        <v>0</v>
      </c>
      <c r="J129" s="27">
        <v>0</v>
      </c>
    </row>
    <row r="130" spans="1:15" x14ac:dyDescent="0.35">
      <c r="A130" s="72"/>
      <c r="B130" s="72"/>
      <c r="C130" s="102"/>
      <c r="D130" s="30" t="s">
        <v>185</v>
      </c>
      <c r="E130" s="31" t="s">
        <v>3</v>
      </c>
      <c r="F130" s="25">
        <v>94</v>
      </c>
      <c r="G130" s="25">
        <v>7</v>
      </c>
      <c r="H130" s="27">
        <v>2</v>
      </c>
      <c r="I130" s="25">
        <v>2</v>
      </c>
      <c r="J130" s="27">
        <v>1</v>
      </c>
    </row>
    <row r="131" spans="1:15" x14ac:dyDescent="0.35">
      <c r="A131" s="72"/>
      <c r="B131" s="72"/>
      <c r="C131" s="102"/>
      <c r="D131" s="30" t="s">
        <v>185</v>
      </c>
      <c r="E131" s="31" t="s">
        <v>4</v>
      </c>
      <c r="F131" s="25">
        <v>129</v>
      </c>
      <c r="G131" s="25">
        <v>25</v>
      </c>
      <c r="H131" s="25">
        <v>23</v>
      </c>
      <c r="I131" s="27">
        <v>2</v>
      </c>
      <c r="J131" s="27">
        <v>1</v>
      </c>
    </row>
    <row r="132" spans="1:15" x14ac:dyDescent="0.35">
      <c r="A132" s="72"/>
      <c r="B132" s="72"/>
      <c r="C132" s="102"/>
      <c r="D132" s="30" t="s">
        <v>185</v>
      </c>
      <c r="E132" s="31" t="s">
        <v>5</v>
      </c>
      <c r="F132" s="25">
        <v>79</v>
      </c>
      <c r="G132" s="25">
        <v>7</v>
      </c>
      <c r="H132" s="27">
        <v>0</v>
      </c>
      <c r="I132" s="25">
        <v>0</v>
      </c>
      <c r="J132" s="27">
        <v>2</v>
      </c>
      <c r="K132" s="2">
        <f>SUM(F128:F132)</f>
        <v>494</v>
      </c>
      <c r="L132" s="2">
        <f>SUM(G128:G132)</f>
        <v>88</v>
      </c>
      <c r="M132" s="2">
        <f>SUM(H128:H132)</f>
        <v>33</v>
      </c>
      <c r="N132" s="2">
        <f t="shared" ref="N132:O132" si="12">SUM(I128:I132)</f>
        <v>6</v>
      </c>
      <c r="O132" s="2">
        <f t="shared" si="12"/>
        <v>4</v>
      </c>
    </row>
    <row r="133" spans="1:15" x14ac:dyDescent="0.35">
      <c r="A133" s="121" t="s">
        <v>418</v>
      </c>
      <c r="B133" s="121" t="s">
        <v>419</v>
      </c>
      <c r="C133" s="122">
        <v>1768</v>
      </c>
      <c r="D133" s="30" t="s">
        <v>186</v>
      </c>
      <c r="E133" s="31" t="s">
        <v>17</v>
      </c>
      <c r="F133" s="21">
        <v>249</v>
      </c>
      <c r="G133" s="21">
        <v>39</v>
      </c>
      <c r="H133" s="21">
        <v>17</v>
      </c>
      <c r="I133" s="21">
        <v>5</v>
      </c>
      <c r="J133" s="21">
        <v>0</v>
      </c>
    </row>
    <row r="134" spans="1:15" x14ac:dyDescent="0.35">
      <c r="A134" s="123"/>
      <c r="B134" s="123"/>
      <c r="C134" s="124"/>
      <c r="D134" s="30" t="s">
        <v>186</v>
      </c>
      <c r="E134" s="31" t="s">
        <v>2</v>
      </c>
      <c r="F134" s="21">
        <v>174</v>
      </c>
      <c r="G134" s="21">
        <v>26</v>
      </c>
      <c r="H134" s="21">
        <v>1</v>
      </c>
      <c r="I134" s="21">
        <v>2</v>
      </c>
      <c r="J134" s="26">
        <v>0</v>
      </c>
    </row>
    <row r="135" spans="1:15" x14ac:dyDescent="0.35">
      <c r="A135" s="123"/>
      <c r="B135" s="123"/>
      <c r="C135" s="124"/>
      <c r="D135" s="30" t="s">
        <v>186</v>
      </c>
      <c r="E135" s="31" t="s">
        <v>3</v>
      </c>
      <c r="F135" s="21">
        <v>38</v>
      </c>
      <c r="G135" s="21">
        <v>4</v>
      </c>
      <c r="H135" s="21">
        <v>3</v>
      </c>
      <c r="I135" s="26">
        <v>1</v>
      </c>
      <c r="J135" s="26">
        <v>0</v>
      </c>
    </row>
    <row r="136" spans="1:15" x14ac:dyDescent="0.35">
      <c r="A136" s="123"/>
      <c r="B136" s="123"/>
      <c r="C136" s="124"/>
      <c r="D136" s="30" t="s">
        <v>186</v>
      </c>
      <c r="E136" s="31" t="s">
        <v>4</v>
      </c>
      <c r="F136" s="21">
        <v>64</v>
      </c>
      <c r="G136" s="21">
        <v>9</v>
      </c>
      <c r="H136" s="21">
        <v>0</v>
      </c>
      <c r="I136" s="21">
        <v>1</v>
      </c>
      <c r="J136" s="26">
        <v>1</v>
      </c>
    </row>
    <row r="137" spans="1:15" x14ac:dyDescent="0.35">
      <c r="A137" s="123"/>
      <c r="B137" s="123"/>
      <c r="C137" s="124"/>
      <c r="D137" s="30" t="s">
        <v>186</v>
      </c>
      <c r="E137" s="31" t="s">
        <v>5</v>
      </c>
      <c r="F137" s="21">
        <v>49</v>
      </c>
      <c r="G137" s="21">
        <v>4</v>
      </c>
      <c r="H137" s="26">
        <v>0</v>
      </c>
      <c r="I137" s="21">
        <v>2</v>
      </c>
      <c r="J137" s="26">
        <v>1</v>
      </c>
    </row>
    <row r="138" spans="1:15" x14ac:dyDescent="0.35">
      <c r="A138" s="123"/>
      <c r="B138" s="123"/>
      <c r="C138" s="124"/>
      <c r="D138" s="30" t="s">
        <v>186</v>
      </c>
      <c r="E138" s="31" t="s">
        <v>6</v>
      </c>
      <c r="F138" s="21">
        <v>158</v>
      </c>
      <c r="G138" s="21">
        <v>28</v>
      </c>
      <c r="H138" s="26">
        <v>3</v>
      </c>
      <c r="I138" s="21">
        <v>4</v>
      </c>
      <c r="J138" s="21">
        <v>3</v>
      </c>
      <c r="K138" s="2">
        <f>SUM(F133:F138)</f>
        <v>732</v>
      </c>
      <c r="L138" s="2">
        <f t="shared" ref="L138:O138" si="13">SUM(G133:G138)</f>
        <v>110</v>
      </c>
      <c r="M138" s="2">
        <f t="shared" si="13"/>
        <v>24</v>
      </c>
      <c r="N138" s="2">
        <f t="shared" si="13"/>
        <v>15</v>
      </c>
      <c r="O138" s="2">
        <f t="shared" si="13"/>
        <v>5</v>
      </c>
    </row>
    <row r="139" spans="1:15" x14ac:dyDescent="0.35">
      <c r="A139" s="100" t="s">
        <v>420</v>
      </c>
      <c r="B139" s="100" t="s">
        <v>421</v>
      </c>
      <c r="C139" s="101">
        <v>1589</v>
      </c>
      <c r="D139" s="30" t="s">
        <v>187</v>
      </c>
      <c r="E139" s="31" t="s">
        <v>17</v>
      </c>
      <c r="F139" s="25">
        <v>146</v>
      </c>
      <c r="G139" s="25">
        <v>27</v>
      </c>
      <c r="H139" s="25">
        <v>15</v>
      </c>
      <c r="I139" s="25">
        <v>7</v>
      </c>
      <c r="J139" s="27">
        <v>0</v>
      </c>
    </row>
    <row r="140" spans="1:15" x14ac:dyDescent="0.35">
      <c r="A140" s="72"/>
      <c r="B140" s="72"/>
      <c r="C140" s="102"/>
      <c r="D140" s="30" t="s">
        <v>187</v>
      </c>
      <c r="E140" s="31" t="s">
        <v>2</v>
      </c>
      <c r="F140" s="25">
        <v>253</v>
      </c>
      <c r="G140" s="25">
        <v>86</v>
      </c>
      <c r="H140" s="25">
        <v>36</v>
      </c>
      <c r="I140" s="25">
        <v>22</v>
      </c>
      <c r="J140" s="27">
        <v>2</v>
      </c>
    </row>
    <row r="141" spans="1:15" x14ac:dyDescent="0.35">
      <c r="A141" s="72"/>
      <c r="B141" s="72"/>
      <c r="C141" s="102"/>
      <c r="D141" s="30" t="s">
        <v>187</v>
      </c>
      <c r="E141" s="31" t="s">
        <v>3</v>
      </c>
      <c r="F141" s="25">
        <v>124</v>
      </c>
      <c r="G141" s="25">
        <v>20</v>
      </c>
      <c r="H141" s="25">
        <v>2</v>
      </c>
      <c r="I141" s="25">
        <v>1</v>
      </c>
      <c r="J141" s="27">
        <v>1</v>
      </c>
    </row>
    <row r="142" spans="1:15" x14ac:dyDescent="0.35">
      <c r="A142" s="72"/>
      <c r="B142" s="72"/>
      <c r="C142" s="102"/>
      <c r="D142" s="30" t="s">
        <v>187</v>
      </c>
      <c r="E142" s="31" t="s">
        <v>4</v>
      </c>
      <c r="F142" s="25">
        <v>121</v>
      </c>
      <c r="G142" s="25">
        <v>28</v>
      </c>
      <c r="H142" s="25">
        <v>3</v>
      </c>
      <c r="I142" s="25">
        <v>8</v>
      </c>
      <c r="J142" s="27">
        <v>0</v>
      </c>
    </row>
    <row r="143" spans="1:15" x14ac:dyDescent="0.35">
      <c r="A143" s="72"/>
      <c r="B143" s="72"/>
      <c r="C143" s="102"/>
      <c r="D143" s="30" t="s">
        <v>187</v>
      </c>
      <c r="E143" s="31" t="s">
        <v>5</v>
      </c>
      <c r="F143" s="25">
        <v>94</v>
      </c>
      <c r="G143" s="25">
        <v>6</v>
      </c>
      <c r="H143" s="25">
        <v>12</v>
      </c>
      <c r="I143" s="25">
        <v>4</v>
      </c>
      <c r="J143" s="27">
        <v>0</v>
      </c>
    </row>
    <row r="144" spans="1:15" x14ac:dyDescent="0.35">
      <c r="A144" s="72"/>
      <c r="B144" s="72"/>
      <c r="C144" s="102"/>
      <c r="D144" s="30" t="s">
        <v>187</v>
      </c>
      <c r="E144" s="31" t="s">
        <v>6</v>
      </c>
      <c r="F144" s="25">
        <v>44</v>
      </c>
      <c r="G144" s="25">
        <v>4</v>
      </c>
      <c r="H144" s="27">
        <v>0</v>
      </c>
      <c r="I144" s="25">
        <v>4</v>
      </c>
      <c r="J144" s="27">
        <v>0</v>
      </c>
      <c r="K144" s="2">
        <f>SUM(F139:F144)</f>
        <v>782</v>
      </c>
      <c r="L144" s="2">
        <f t="shared" ref="L144:O144" si="14">SUM(G139:G144)</f>
        <v>171</v>
      </c>
      <c r="M144" s="2">
        <f t="shared" si="14"/>
        <v>68</v>
      </c>
      <c r="N144" s="2">
        <f t="shared" si="14"/>
        <v>46</v>
      </c>
      <c r="O144" s="2">
        <f t="shared" si="14"/>
        <v>3</v>
      </c>
    </row>
    <row r="145" spans="1:10" x14ac:dyDescent="0.35">
      <c r="A145" s="119"/>
      <c r="B145" s="119" t="s">
        <v>721</v>
      </c>
      <c r="C145" s="120">
        <f>SUM(C5:C139)</f>
        <v>44834</v>
      </c>
      <c r="D145" s="356" t="s">
        <v>229</v>
      </c>
      <c r="E145" s="357"/>
      <c r="F145" s="32">
        <f>SUM(F5:F144)</f>
        <v>16361</v>
      </c>
      <c r="G145" s="32">
        <f>SUM(G5:G144)</f>
        <v>4513</v>
      </c>
      <c r="H145" s="32">
        <f>SUM(H5:H144)</f>
        <v>932</v>
      </c>
      <c r="I145" s="32">
        <f>SUM(I5:I144)</f>
        <v>660</v>
      </c>
      <c r="J145" s="32">
        <f>SUM(J5:J144)</f>
        <v>137</v>
      </c>
    </row>
    <row r="146" spans="1:10" x14ac:dyDescent="0.35">
      <c r="A146" s="347" t="s">
        <v>743</v>
      </c>
      <c r="B146" s="347"/>
      <c r="C146" s="120">
        <f>SUM(C145,F145,G145,H145,I145,J145)</f>
        <v>67437</v>
      </c>
    </row>
  </sheetData>
  <mergeCells count="7">
    <mergeCell ref="A146:B146"/>
    <mergeCell ref="D145:E145"/>
    <mergeCell ref="D1:J1"/>
    <mergeCell ref="D2:J2"/>
    <mergeCell ref="F3:J3"/>
    <mergeCell ref="A1:C1"/>
    <mergeCell ref="A2:C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workbookViewId="0">
      <selection sqref="A1:C1"/>
    </sheetView>
  </sheetViews>
  <sheetFormatPr defaultRowHeight="21" x14ac:dyDescent="0.35"/>
  <cols>
    <col min="1" max="1" width="14.85546875" style="2" customWidth="1"/>
    <col min="2" max="2" width="18.42578125" style="2" customWidth="1"/>
    <col min="3" max="3" width="21.85546875" style="94" customWidth="1"/>
    <col min="4" max="4" width="13.42578125" style="2" customWidth="1"/>
    <col min="5" max="5" width="9.140625" style="22"/>
    <col min="6" max="6" width="11.5703125" style="22" customWidth="1"/>
    <col min="7" max="7" width="11" style="22" customWidth="1"/>
    <col min="8" max="8" width="10.28515625" style="22" customWidth="1"/>
    <col min="9" max="9" width="19.28515625" style="22" customWidth="1"/>
    <col min="10" max="10" width="13.85546875" style="22" customWidth="1"/>
    <col min="11" max="16384" width="9.140625" style="2"/>
  </cols>
  <sheetData>
    <row r="1" spans="1:10" x14ac:dyDescent="0.35">
      <c r="A1" s="334" t="s">
        <v>744</v>
      </c>
      <c r="B1" s="334"/>
      <c r="C1" s="334"/>
      <c r="D1" s="349" t="s">
        <v>234</v>
      </c>
      <c r="E1" s="350"/>
      <c r="F1" s="350"/>
      <c r="G1" s="350"/>
      <c r="H1" s="350"/>
      <c r="I1" s="350"/>
      <c r="J1" s="350"/>
    </row>
    <row r="2" spans="1:10" x14ac:dyDescent="0.35">
      <c r="A2" s="334" t="s">
        <v>861</v>
      </c>
      <c r="B2" s="334"/>
      <c r="C2" s="334"/>
      <c r="D2" s="351" t="s">
        <v>862</v>
      </c>
      <c r="E2" s="349"/>
      <c r="F2" s="349"/>
      <c r="G2" s="349"/>
      <c r="H2" s="349"/>
      <c r="I2" s="349"/>
      <c r="J2" s="349"/>
    </row>
    <row r="3" spans="1:10" x14ac:dyDescent="0.35">
      <c r="A3" s="90"/>
      <c r="B3" s="90"/>
      <c r="C3" s="109"/>
      <c r="D3" s="42"/>
      <c r="E3" s="42"/>
      <c r="F3" s="335" t="s">
        <v>716</v>
      </c>
      <c r="G3" s="335"/>
      <c r="H3" s="335"/>
      <c r="I3" s="335"/>
      <c r="J3" s="335"/>
    </row>
    <row r="4" spans="1:10" x14ac:dyDescent="0.35">
      <c r="A4" s="85" t="s">
        <v>714</v>
      </c>
      <c r="B4" s="85" t="s">
        <v>254</v>
      </c>
      <c r="C4" s="86" t="s">
        <v>715</v>
      </c>
      <c r="D4" s="18" t="s">
        <v>223</v>
      </c>
      <c r="E4" s="19" t="s">
        <v>222</v>
      </c>
      <c r="F4" s="19" t="s">
        <v>218</v>
      </c>
      <c r="G4" s="19" t="s">
        <v>219</v>
      </c>
      <c r="H4" s="19" t="s">
        <v>220</v>
      </c>
      <c r="I4" s="19" t="s">
        <v>226</v>
      </c>
      <c r="J4" s="19" t="s">
        <v>221</v>
      </c>
    </row>
    <row r="5" spans="1:10" x14ac:dyDescent="0.35">
      <c r="A5" s="9" t="s">
        <v>657</v>
      </c>
      <c r="B5" s="9" t="s">
        <v>658</v>
      </c>
      <c r="C5" s="96">
        <v>2927</v>
      </c>
      <c r="D5" s="16" t="s">
        <v>188</v>
      </c>
      <c r="E5" s="17" t="s">
        <v>17</v>
      </c>
      <c r="F5" s="13">
        <v>113</v>
      </c>
      <c r="G5" s="13">
        <v>57</v>
      </c>
      <c r="H5" s="13">
        <v>14</v>
      </c>
      <c r="I5" s="15">
        <v>14</v>
      </c>
      <c r="J5" s="15">
        <v>2</v>
      </c>
    </row>
    <row r="6" spans="1:10" x14ac:dyDescent="0.35">
      <c r="A6" s="73"/>
      <c r="B6" s="73"/>
      <c r="C6" s="97"/>
      <c r="D6" s="16" t="s">
        <v>188</v>
      </c>
      <c r="E6" s="17" t="s">
        <v>2</v>
      </c>
      <c r="F6" s="13">
        <v>140</v>
      </c>
      <c r="G6" s="13">
        <v>33</v>
      </c>
      <c r="H6" s="13">
        <v>5</v>
      </c>
      <c r="I6" s="13">
        <v>9</v>
      </c>
      <c r="J6" s="13">
        <v>0</v>
      </c>
    </row>
    <row r="7" spans="1:10" x14ac:dyDescent="0.35">
      <c r="A7" s="73"/>
      <c r="B7" s="73"/>
      <c r="C7" s="97"/>
      <c r="D7" s="16" t="s">
        <v>188</v>
      </c>
      <c r="E7" s="17" t="s">
        <v>3</v>
      </c>
      <c r="F7" s="13">
        <v>73</v>
      </c>
      <c r="G7" s="13">
        <v>77</v>
      </c>
      <c r="H7" s="13">
        <v>3</v>
      </c>
      <c r="I7" s="13">
        <v>2</v>
      </c>
      <c r="J7" s="13">
        <v>1</v>
      </c>
    </row>
    <row r="8" spans="1:10" x14ac:dyDescent="0.35">
      <c r="A8" s="73"/>
      <c r="B8" s="73"/>
      <c r="C8" s="97"/>
      <c r="D8" s="16" t="s">
        <v>188</v>
      </c>
      <c r="E8" s="17" t="s">
        <v>4</v>
      </c>
      <c r="F8" s="13">
        <v>129</v>
      </c>
      <c r="G8" s="13">
        <v>24</v>
      </c>
      <c r="H8" s="13">
        <v>3</v>
      </c>
      <c r="I8" s="15">
        <v>0</v>
      </c>
      <c r="J8" s="15">
        <v>1</v>
      </c>
    </row>
    <row r="9" spans="1:10" x14ac:dyDescent="0.35">
      <c r="A9" s="73"/>
      <c r="B9" s="73"/>
      <c r="C9" s="97"/>
      <c r="D9" s="16" t="s">
        <v>188</v>
      </c>
      <c r="E9" s="17" t="s">
        <v>5</v>
      </c>
      <c r="F9" s="13">
        <v>141</v>
      </c>
      <c r="G9" s="13">
        <v>31</v>
      </c>
      <c r="H9" s="13">
        <v>0</v>
      </c>
      <c r="I9" s="13">
        <v>10</v>
      </c>
      <c r="J9" s="15">
        <v>0</v>
      </c>
    </row>
    <row r="10" spans="1:10" x14ac:dyDescent="0.35">
      <c r="A10" s="73"/>
      <c r="B10" s="73"/>
      <c r="C10" s="97"/>
      <c r="D10" s="16" t="s">
        <v>190</v>
      </c>
      <c r="E10" s="17" t="s">
        <v>7</v>
      </c>
      <c r="F10" s="13">
        <v>55</v>
      </c>
      <c r="G10" s="13">
        <v>20</v>
      </c>
      <c r="H10" s="15">
        <v>0</v>
      </c>
      <c r="I10" s="13">
        <v>5</v>
      </c>
      <c r="J10" s="15">
        <v>2</v>
      </c>
    </row>
    <row r="11" spans="1:10" x14ac:dyDescent="0.35">
      <c r="A11" s="73"/>
      <c r="B11" s="73"/>
      <c r="C11" s="97"/>
      <c r="D11" s="16" t="s">
        <v>190</v>
      </c>
      <c r="E11" s="17" t="s">
        <v>8</v>
      </c>
      <c r="F11" s="13">
        <v>120</v>
      </c>
      <c r="G11" s="13">
        <v>34</v>
      </c>
      <c r="H11" s="15">
        <v>0</v>
      </c>
      <c r="I11" s="13">
        <v>6</v>
      </c>
      <c r="J11" s="13">
        <v>1</v>
      </c>
    </row>
    <row r="12" spans="1:10" x14ac:dyDescent="0.35">
      <c r="A12" s="73"/>
      <c r="B12" s="73"/>
      <c r="C12" s="97"/>
      <c r="D12" s="16" t="s">
        <v>190</v>
      </c>
      <c r="E12" s="17" t="s">
        <v>9</v>
      </c>
      <c r="F12" s="13">
        <v>91</v>
      </c>
      <c r="G12" s="13">
        <v>5</v>
      </c>
      <c r="H12" s="13">
        <v>3</v>
      </c>
      <c r="I12" s="13">
        <v>3</v>
      </c>
      <c r="J12" s="15">
        <v>0</v>
      </c>
    </row>
    <row r="13" spans="1:10" x14ac:dyDescent="0.35">
      <c r="A13" s="73"/>
      <c r="B13" s="73"/>
      <c r="C13" s="97"/>
      <c r="D13" s="16" t="s">
        <v>189</v>
      </c>
      <c r="E13" s="17" t="s">
        <v>6</v>
      </c>
      <c r="F13" s="13">
        <v>145</v>
      </c>
      <c r="G13" s="13">
        <v>38</v>
      </c>
      <c r="H13" s="13">
        <v>4</v>
      </c>
      <c r="I13" s="13">
        <v>9</v>
      </c>
      <c r="J13" s="15">
        <v>1</v>
      </c>
    </row>
    <row r="14" spans="1:10" x14ac:dyDescent="0.35">
      <c r="A14" s="4" t="s">
        <v>659</v>
      </c>
      <c r="B14" s="4" t="s">
        <v>660</v>
      </c>
      <c r="C14" s="98">
        <v>1271</v>
      </c>
      <c r="D14" s="16" t="s">
        <v>189</v>
      </c>
      <c r="E14" s="17" t="s">
        <v>7</v>
      </c>
      <c r="F14" s="12">
        <v>67</v>
      </c>
      <c r="G14" s="12">
        <v>20</v>
      </c>
      <c r="H14" s="12">
        <v>4</v>
      </c>
      <c r="I14" s="12">
        <v>1</v>
      </c>
      <c r="J14" s="14">
        <v>0</v>
      </c>
    </row>
    <row r="15" spans="1:10" x14ac:dyDescent="0.35">
      <c r="A15" s="4"/>
      <c r="B15" s="4"/>
      <c r="C15" s="98"/>
      <c r="D15" s="16" t="s">
        <v>193</v>
      </c>
      <c r="E15" s="17" t="s">
        <v>17</v>
      </c>
      <c r="F15" s="12">
        <v>125</v>
      </c>
      <c r="G15" s="12">
        <v>16</v>
      </c>
      <c r="H15" s="14">
        <v>0</v>
      </c>
      <c r="I15" s="12">
        <v>5</v>
      </c>
      <c r="J15" s="14">
        <v>0</v>
      </c>
    </row>
    <row r="16" spans="1:10" x14ac:dyDescent="0.35">
      <c r="A16" s="4"/>
      <c r="B16" s="4"/>
      <c r="C16" s="98"/>
      <c r="D16" s="16" t="s">
        <v>193</v>
      </c>
      <c r="E16" s="17" t="s">
        <v>2</v>
      </c>
      <c r="F16" s="12">
        <v>101</v>
      </c>
      <c r="G16" s="12">
        <v>8</v>
      </c>
      <c r="H16" s="12">
        <v>6</v>
      </c>
      <c r="I16" s="12">
        <v>3</v>
      </c>
      <c r="J16" s="14">
        <v>1</v>
      </c>
    </row>
    <row r="17" spans="1:15" x14ac:dyDescent="0.35">
      <c r="A17" s="4"/>
      <c r="B17" s="4"/>
      <c r="C17" s="98"/>
      <c r="D17" s="16" t="s">
        <v>193</v>
      </c>
      <c r="E17" s="17" t="s">
        <v>3</v>
      </c>
      <c r="F17" s="12">
        <v>55</v>
      </c>
      <c r="G17" s="12">
        <v>15</v>
      </c>
      <c r="H17" s="12">
        <v>3</v>
      </c>
      <c r="I17" s="12">
        <v>1</v>
      </c>
      <c r="J17" s="14">
        <v>0</v>
      </c>
    </row>
    <row r="18" spans="1:15" x14ac:dyDescent="0.35">
      <c r="A18" s="79"/>
      <c r="B18" s="79"/>
      <c r="C18" s="99"/>
      <c r="D18" s="16" t="s">
        <v>188</v>
      </c>
      <c r="E18" s="17" t="s">
        <v>7</v>
      </c>
      <c r="F18" s="12">
        <v>93</v>
      </c>
      <c r="G18" s="12">
        <v>11</v>
      </c>
      <c r="H18" s="14">
        <v>0</v>
      </c>
      <c r="I18" s="12">
        <v>3</v>
      </c>
      <c r="J18" s="12">
        <v>1</v>
      </c>
    </row>
    <row r="19" spans="1:15" x14ac:dyDescent="0.35">
      <c r="A19" s="79"/>
      <c r="B19" s="79"/>
      <c r="C19" s="99"/>
      <c r="D19" s="16" t="s">
        <v>188</v>
      </c>
      <c r="E19" s="17" t="s">
        <v>8</v>
      </c>
      <c r="F19" s="12">
        <v>35</v>
      </c>
      <c r="G19" s="12">
        <v>29</v>
      </c>
      <c r="H19" s="12">
        <v>1</v>
      </c>
      <c r="I19" s="12">
        <v>2</v>
      </c>
      <c r="J19" s="14">
        <v>1</v>
      </c>
      <c r="K19" s="2">
        <f>SUM(F14:F19)</f>
        <v>476</v>
      </c>
      <c r="L19" s="2">
        <f t="shared" ref="L19:O19" si="0">SUM(G14:G19)</f>
        <v>99</v>
      </c>
      <c r="M19" s="2">
        <f t="shared" si="0"/>
        <v>14</v>
      </c>
      <c r="N19" s="2">
        <f t="shared" si="0"/>
        <v>15</v>
      </c>
      <c r="O19" s="2">
        <f t="shared" si="0"/>
        <v>3</v>
      </c>
    </row>
    <row r="20" spans="1:15" x14ac:dyDescent="0.35">
      <c r="A20" s="9" t="s">
        <v>422</v>
      </c>
      <c r="B20" s="9" t="s">
        <v>423</v>
      </c>
      <c r="C20" s="96">
        <v>1465</v>
      </c>
      <c r="D20" s="16" t="s">
        <v>190</v>
      </c>
      <c r="E20" s="17" t="s">
        <v>17</v>
      </c>
      <c r="F20" s="13">
        <v>102</v>
      </c>
      <c r="G20" s="13">
        <v>8</v>
      </c>
      <c r="H20" s="13">
        <v>2</v>
      </c>
      <c r="I20" s="13">
        <v>3</v>
      </c>
      <c r="J20" s="13">
        <v>0</v>
      </c>
    </row>
    <row r="21" spans="1:15" x14ac:dyDescent="0.35">
      <c r="A21" s="73"/>
      <c r="B21" s="73"/>
      <c r="C21" s="97"/>
      <c r="D21" s="16" t="s">
        <v>190</v>
      </c>
      <c r="E21" s="17" t="s">
        <v>2</v>
      </c>
      <c r="F21" s="13">
        <v>88</v>
      </c>
      <c r="G21" s="13">
        <v>8</v>
      </c>
      <c r="H21" s="13">
        <v>1</v>
      </c>
      <c r="I21" s="13">
        <v>3</v>
      </c>
      <c r="J21" s="15">
        <v>0</v>
      </c>
    </row>
    <row r="22" spans="1:15" x14ac:dyDescent="0.35">
      <c r="A22" s="73"/>
      <c r="B22" s="73"/>
      <c r="C22" s="97"/>
      <c r="D22" s="16" t="s">
        <v>190</v>
      </c>
      <c r="E22" s="17" t="s">
        <v>3</v>
      </c>
      <c r="F22" s="13">
        <v>34</v>
      </c>
      <c r="G22" s="13">
        <v>3</v>
      </c>
      <c r="H22" s="15">
        <v>2</v>
      </c>
      <c r="I22" s="15">
        <v>0</v>
      </c>
      <c r="J22" s="15">
        <v>0</v>
      </c>
    </row>
    <row r="23" spans="1:15" x14ac:dyDescent="0.35">
      <c r="A23" s="73"/>
      <c r="B23" s="73"/>
      <c r="C23" s="97"/>
      <c r="D23" s="16" t="s">
        <v>190</v>
      </c>
      <c r="E23" s="17" t="s">
        <v>4</v>
      </c>
      <c r="F23" s="13">
        <v>39</v>
      </c>
      <c r="G23" s="13">
        <v>11</v>
      </c>
      <c r="H23" s="13">
        <v>2</v>
      </c>
      <c r="I23" s="13">
        <v>1</v>
      </c>
      <c r="J23" s="15">
        <v>0</v>
      </c>
    </row>
    <row r="24" spans="1:15" x14ac:dyDescent="0.35">
      <c r="A24" s="73"/>
      <c r="B24" s="73"/>
      <c r="C24" s="97"/>
      <c r="D24" s="16" t="s">
        <v>190</v>
      </c>
      <c r="E24" s="17" t="s">
        <v>5</v>
      </c>
      <c r="F24" s="13">
        <v>31</v>
      </c>
      <c r="G24" s="13">
        <v>18</v>
      </c>
      <c r="H24" s="13">
        <v>2</v>
      </c>
      <c r="I24" s="13">
        <v>5</v>
      </c>
      <c r="J24" s="15">
        <v>0</v>
      </c>
    </row>
    <row r="25" spans="1:15" x14ac:dyDescent="0.35">
      <c r="A25" s="73"/>
      <c r="B25" s="73"/>
      <c r="C25" s="97"/>
      <c r="D25" s="16" t="s">
        <v>190</v>
      </c>
      <c r="E25" s="17" t="s">
        <v>6</v>
      </c>
      <c r="F25" s="13">
        <v>34</v>
      </c>
      <c r="G25" s="13">
        <v>12</v>
      </c>
      <c r="H25" s="15">
        <v>0</v>
      </c>
      <c r="I25" s="13">
        <v>2</v>
      </c>
      <c r="J25" s="15">
        <v>0</v>
      </c>
    </row>
    <row r="26" spans="1:15" x14ac:dyDescent="0.35">
      <c r="A26" s="73"/>
      <c r="B26" s="73"/>
      <c r="C26" s="97"/>
      <c r="D26" s="16" t="s">
        <v>189</v>
      </c>
      <c r="E26" s="17" t="s">
        <v>17</v>
      </c>
      <c r="F26" s="13">
        <v>88</v>
      </c>
      <c r="G26" s="13">
        <v>37</v>
      </c>
      <c r="H26" s="13">
        <v>14</v>
      </c>
      <c r="I26" s="13">
        <v>6</v>
      </c>
      <c r="J26" s="15">
        <v>0</v>
      </c>
    </row>
    <row r="27" spans="1:15" x14ac:dyDescent="0.35">
      <c r="A27" s="73"/>
      <c r="B27" s="73"/>
      <c r="C27" s="97"/>
      <c r="D27" s="16" t="s">
        <v>189</v>
      </c>
      <c r="E27" s="17" t="s">
        <v>2</v>
      </c>
      <c r="F27" s="13">
        <v>43</v>
      </c>
      <c r="G27" s="13">
        <v>10</v>
      </c>
      <c r="H27" s="13">
        <v>1</v>
      </c>
      <c r="I27" s="13">
        <v>4</v>
      </c>
      <c r="J27" s="15">
        <v>0</v>
      </c>
    </row>
    <row r="28" spans="1:15" x14ac:dyDescent="0.35">
      <c r="A28" s="73"/>
      <c r="B28" s="73"/>
      <c r="C28" s="97"/>
      <c r="D28" s="16" t="s">
        <v>189</v>
      </c>
      <c r="E28" s="17" t="s">
        <v>3</v>
      </c>
      <c r="F28" s="13">
        <v>73</v>
      </c>
      <c r="G28" s="13">
        <v>36</v>
      </c>
      <c r="H28" s="13">
        <v>7</v>
      </c>
      <c r="I28" s="13">
        <v>6</v>
      </c>
      <c r="J28" s="15">
        <v>0</v>
      </c>
    </row>
    <row r="29" spans="1:15" x14ac:dyDescent="0.35">
      <c r="A29" s="73"/>
      <c r="B29" s="73"/>
      <c r="C29" s="97"/>
      <c r="D29" s="16" t="s">
        <v>189</v>
      </c>
      <c r="E29" s="17" t="s">
        <v>4</v>
      </c>
      <c r="F29" s="13">
        <v>82</v>
      </c>
      <c r="G29" s="13">
        <v>26</v>
      </c>
      <c r="H29" s="13">
        <v>3</v>
      </c>
      <c r="I29" s="13">
        <v>1</v>
      </c>
      <c r="J29" s="13">
        <v>1</v>
      </c>
    </row>
    <row r="30" spans="1:15" x14ac:dyDescent="0.35">
      <c r="A30" s="73"/>
      <c r="B30" s="73"/>
      <c r="C30" s="97"/>
      <c r="D30" s="16" t="s">
        <v>189</v>
      </c>
      <c r="E30" s="17" t="s">
        <v>5</v>
      </c>
      <c r="F30" s="13">
        <v>58</v>
      </c>
      <c r="G30" s="13">
        <v>19</v>
      </c>
      <c r="H30" s="13">
        <v>1</v>
      </c>
      <c r="I30" s="13">
        <v>3</v>
      </c>
      <c r="J30" s="15">
        <v>0</v>
      </c>
      <c r="K30" s="2">
        <f>SUM(F20:F30)</f>
        <v>672</v>
      </c>
      <c r="L30" s="2">
        <f t="shared" ref="L30:O30" si="1">SUM(G20:G30)</f>
        <v>188</v>
      </c>
      <c r="M30" s="2">
        <f t="shared" si="1"/>
        <v>35</v>
      </c>
      <c r="N30" s="2">
        <f t="shared" si="1"/>
        <v>34</v>
      </c>
      <c r="O30" s="2">
        <f t="shared" si="1"/>
        <v>1</v>
      </c>
    </row>
    <row r="31" spans="1:15" x14ac:dyDescent="0.35">
      <c r="A31" s="4" t="s">
        <v>424</v>
      </c>
      <c r="B31" s="4" t="s">
        <v>425</v>
      </c>
      <c r="C31" s="98">
        <v>1150</v>
      </c>
      <c r="D31" s="16" t="s">
        <v>191</v>
      </c>
      <c r="E31" s="17" t="s">
        <v>17</v>
      </c>
      <c r="F31" s="12">
        <v>99</v>
      </c>
      <c r="G31" s="12">
        <v>15</v>
      </c>
      <c r="H31" s="12">
        <v>1</v>
      </c>
      <c r="I31" s="12">
        <v>2</v>
      </c>
      <c r="J31" s="14">
        <v>0</v>
      </c>
    </row>
    <row r="32" spans="1:15" x14ac:dyDescent="0.35">
      <c r="A32" s="4"/>
      <c r="B32" s="4"/>
      <c r="C32" s="98"/>
      <c r="D32" s="16" t="s">
        <v>191</v>
      </c>
      <c r="E32" s="17" t="s">
        <v>2</v>
      </c>
      <c r="F32" s="12">
        <v>86</v>
      </c>
      <c r="G32" s="12">
        <v>10</v>
      </c>
      <c r="H32" s="12">
        <v>1</v>
      </c>
      <c r="I32" s="12">
        <v>5</v>
      </c>
      <c r="J32" s="12">
        <v>0</v>
      </c>
    </row>
    <row r="33" spans="1:15" x14ac:dyDescent="0.35">
      <c r="A33" s="79"/>
      <c r="B33" s="79"/>
      <c r="C33" s="99"/>
      <c r="D33" s="16" t="s">
        <v>191</v>
      </c>
      <c r="E33" s="17" t="s">
        <v>3</v>
      </c>
      <c r="F33" s="12">
        <v>83</v>
      </c>
      <c r="G33" s="12">
        <v>18</v>
      </c>
      <c r="H33" s="12">
        <v>1</v>
      </c>
      <c r="I33" s="12">
        <v>4</v>
      </c>
      <c r="J33" s="14">
        <v>0</v>
      </c>
    </row>
    <row r="34" spans="1:15" x14ac:dyDescent="0.35">
      <c r="A34" s="79"/>
      <c r="B34" s="79"/>
      <c r="C34" s="99"/>
      <c r="D34" s="16" t="s">
        <v>191</v>
      </c>
      <c r="E34" s="17" t="s">
        <v>4</v>
      </c>
      <c r="F34" s="12">
        <v>95</v>
      </c>
      <c r="G34" s="12">
        <v>6</v>
      </c>
      <c r="H34" s="12">
        <v>1</v>
      </c>
      <c r="I34" s="14">
        <v>0</v>
      </c>
      <c r="J34" s="14">
        <v>1</v>
      </c>
    </row>
    <row r="35" spans="1:15" x14ac:dyDescent="0.35">
      <c r="A35" s="79"/>
      <c r="B35" s="79"/>
      <c r="C35" s="99"/>
      <c r="D35" s="16" t="s">
        <v>191</v>
      </c>
      <c r="E35" s="17" t="s">
        <v>5</v>
      </c>
      <c r="F35" s="12">
        <v>131</v>
      </c>
      <c r="G35" s="12">
        <v>19</v>
      </c>
      <c r="H35" s="14">
        <v>0</v>
      </c>
      <c r="I35" s="12">
        <v>4</v>
      </c>
      <c r="J35" s="14">
        <v>0</v>
      </c>
      <c r="K35" s="2">
        <f>SUM(F31:F35)</f>
        <v>494</v>
      </c>
      <c r="L35" s="2">
        <f t="shared" ref="L35:O35" si="2">SUM(G31:G35)</f>
        <v>68</v>
      </c>
      <c r="M35" s="2">
        <f t="shared" si="2"/>
        <v>4</v>
      </c>
      <c r="N35" s="2">
        <f t="shared" si="2"/>
        <v>15</v>
      </c>
      <c r="O35" s="2">
        <f t="shared" si="2"/>
        <v>1</v>
      </c>
    </row>
    <row r="36" spans="1:15" x14ac:dyDescent="0.35">
      <c r="A36" s="9" t="s">
        <v>426</v>
      </c>
      <c r="B36" s="9" t="s">
        <v>427</v>
      </c>
      <c r="C36" s="96">
        <v>1866</v>
      </c>
      <c r="D36" s="16" t="s">
        <v>191</v>
      </c>
      <c r="E36" s="13" t="s">
        <v>6</v>
      </c>
      <c r="F36" s="13">
        <v>94</v>
      </c>
      <c r="G36" s="13">
        <v>13</v>
      </c>
      <c r="H36" s="13">
        <v>4</v>
      </c>
      <c r="I36" s="13">
        <v>3</v>
      </c>
      <c r="J36" s="15">
        <v>0</v>
      </c>
    </row>
    <row r="37" spans="1:15" x14ac:dyDescent="0.35">
      <c r="A37" s="73"/>
      <c r="B37" s="73"/>
      <c r="C37" s="97"/>
      <c r="D37" s="16" t="s">
        <v>191</v>
      </c>
      <c r="E37" s="13" t="s">
        <v>7</v>
      </c>
      <c r="F37" s="13">
        <v>172</v>
      </c>
      <c r="G37" s="13">
        <v>35</v>
      </c>
      <c r="H37" s="13">
        <v>6</v>
      </c>
      <c r="I37" s="13">
        <v>5</v>
      </c>
      <c r="J37" s="15">
        <v>1</v>
      </c>
    </row>
    <row r="38" spans="1:15" x14ac:dyDescent="0.35">
      <c r="A38" s="73"/>
      <c r="B38" s="73"/>
      <c r="C38" s="97"/>
      <c r="D38" s="16" t="s">
        <v>191</v>
      </c>
      <c r="E38" s="13" t="s">
        <v>8</v>
      </c>
      <c r="F38" s="13">
        <v>72</v>
      </c>
      <c r="G38" s="13">
        <v>16</v>
      </c>
      <c r="H38" s="13">
        <v>8</v>
      </c>
      <c r="I38" s="13">
        <v>4</v>
      </c>
      <c r="J38" s="15">
        <v>1</v>
      </c>
    </row>
    <row r="39" spans="1:15" x14ac:dyDescent="0.35">
      <c r="A39" s="73"/>
      <c r="B39" s="73"/>
      <c r="C39" s="97"/>
      <c r="D39" s="16" t="s">
        <v>191</v>
      </c>
      <c r="E39" s="13" t="s">
        <v>9</v>
      </c>
      <c r="F39" s="13">
        <v>133</v>
      </c>
      <c r="G39" s="13">
        <v>31</v>
      </c>
      <c r="H39" s="13">
        <v>3</v>
      </c>
      <c r="I39" s="13">
        <v>5</v>
      </c>
      <c r="J39" s="13">
        <v>1</v>
      </c>
    </row>
    <row r="40" spans="1:15" x14ac:dyDescent="0.35">
      <c r="A40" s="73"/>
      <c r="B40" s="73"/>
      <c r="C40" s="97"/>
      <c r="D40" s="16" t="s">
        <v>191</v>
      </c>
      <c r="E40" s="13" t="s">
        <v>11</v>
      </c>
      <c r="F40" s="13">
        <v>93</v>
      </c>
      <c r="G40" s="13">
        <v>9</v>
      </c>
      <c r="H40" s="13">
        <v>1</v>
      </c>
      <c r="I40" s="13">
        <v>2</v>
      </c>
      <c r="J40" s="15">
        <v>0</v>
      </c>
    </row>
    <row r="41" spans="1:15" x14ac:dyDescent="0.35">
      <c r="A41" s="73"/>
      <c r="B41" s="73"/>
      <c r="C41" s="97"/>
      <c r="D41" s="16" t="s">
        <v>191</v>
      </c>
      <c r="E41" s="13" t="s">
        <v>12</v>
      </c>
      <c r="F41" s="13">
        <v>41</v>
      </c>
      <c r="G41" s="13">
        <v>10</v>
      </c>
      <c r="H41" s="15">
        <v>0</v>
      </c>
      <c r="I41" s="13">
        <v>1</v>
      </c>
      <c r="J41" s="15">
        <v>1</v>
      </c>
    </row>
    <row r="42" spans="1:15" x14ac:dyDescent="0.35">
      <c r="A42" s="73"/>
      <c r="B42" s="73"/>
      <c r="C42" s="97"/>
      <c r="D42" s="16" t="s">
        <v>191</v>
      </c>
      <c r="E42" s="13" t="s">
        <v>13</v>
      </c>
      <c r="F42" s="13">
        <v>80</v>
      </c>
      <c r="G42" s="13">
        <v>23</v>
      </c>
      <c r="H42" s="13">
        <v>6</v>
      </c>
      <c r="I42" s="13">
        <v>4</v>
      </c>
      <c r="J42" s="13">
        <v>0</v>
      </c>
    </row>
    <row r="43" spans="1:15" x14ac:dyDescent="0.35">
      <c r="A43" s="73"/>
      <c r="B43" s="73"/>
      <c r="C43" s="97"/>
      <c r="D43" s="16" t="s">
        <v>190</v>
      </c>
      <c r="E43" s="13" t="s">
        <v>11</v>
      </c>
      <c r="F43" s="13">
        <v>83</v>
      </c>
      <c r="G43" s="13">
        <v>5</v>
      </c>
      <c r="H43" s="13">
        <v>1</v>
      </c>
      <c r="I43" s="13">
        <v>2</v>
      </c>
      <c r="J43" s="15">
        <v>0</v>
      </c>
      <c r="K43" s="2">
        <f>SUM(F36:F43)</f>
        <v>768</v>
      </c>
      <c r="L43" s="2">
        <f t="shared" ref="L43:O43" si="3">SUM(G36:G43)</f>
        <v>142</v>
      </c>
      <c r="M43" s="2">
        <f t="shared" si="3"/>
        <v>29</v>
      </c>
      <c r="N43" s="2">
        <f t="shared" si="3"/>
        <v>26</v>
      </c>
      <c r="O43" s="2">
        <f t="shared" si="3"/>
        <v>4</v>
      </c>
    </row>
    <row r="44" spans="1:15" x14ac:dyDescent="0.35">
      <c r="A44" s="4" t="s">
        <v>633</v>
      </c>
      <c r="B44" s="4" t="s">
        <v>634</v>
      </c>
      <c r="C44" s="98">
        <v>2402</v>
      </c>
      <c r="D44" s="16" t="s">
        <v>192</v>
      </c>
      <c r="E44" s="17" t="s">
        <v>17</v>
      </c>
      <c r="F44" s="12">
        <v>98</v>
      </c>
      <c r="G44" s="12">
        <v>15</v>
      </c>
      <c r="H44" s="14">
        <v>0</v>
      </c>
      <c r="I44" s="12">
        <v>2</v>
      </c>
      <c r="J44" s="14">
        <v>1</v>
      </c>
    </row>
    <row r="45" spans="1:15" x14ac:dyDescent="0.35">
      <c r="A45" s="79"/>
      <c r="B45" s="79"/>
      <c r="C45" s="99"/>
      <c r="D45" s="16" t="s">
        <v>192</v>
      </c>
      <c r="E45" s="17" t="s">
        <v>2</v>
      </c>
      <c r="F45" s="12">
        <v>175</v>
      </c>
      <c r="G45" s="12">
        <v>37</v>
      </c>
      <c r="H45" s="14">
        <v>0</v>
      </c>
      <c r="I45" s="12">
        <v>2</v>
      </c>
      <c r="J45" s="14">
        <v>2</v>
      </c>
    </row>
    <row r="46" spans="1:15" x14ac:dyDescent="0.35">
      <c r="A46" s="79"/>
      <c r="B46" s="79"/>
      <c r="C46" s="99"/>
      <c r="D46" s="16" t="s">
        <v>192</v>
      </c>
      <c r="E46" s="17" t="s">
        <v>3</v>
      </c>
      <c r="F46" s="12">
        <v>88</v>
      </c>
      <c r="G46" s="12">
        <v>35</v>
      </c>
      <c r="H46" s="12">
        <v>1</v>
      </c>
      <c r="I46" s="12">
        <v>9</v>
      </c>
      <c r="J46" s="14">
        <v>1</v>
      </c>
    </row>
    <row r="47" spans="1:15" x14ac:dyDescent="0.35">
      <c r="A47" s="79"/>
      <c r="B47" s="79"/>
      <c r="C47" s="99"/>
      <c r="D47" s="16" t="s">
        <v>192</v>
      </c>
      <c r="E47" s="17" t="s">
        <v>4</v>
      </c>
      <c r="F47" s="12">
        <v>81</v>
      </c>
      <c r="G47" s="12">
        <v>9</v>
      </c>
      <c r="H47" s="14">
        <v>0</v>
      </c>
      <c r="I47" s="12">
        <v>2</v>
      </c>
      <c r="J47" s="14">
        <v>0</v>
      </c>
    </row>
    <row r="48" spans="1:15" x14ac:dyDescent="0.35">
      <c r="A48" s="79"/>
      <c r="B48" s="79"/>
      <c r="C48" s="99"/>
      <c r="D48" s="16" t="s">
        <v>192</v>
      </c>
      <c r="E48" s="17" t="s">
        <v>5</v>
      </c>
      <c r="F48" s="12">
        <v>84</v>
      </c>
      <c r="G48" s="12">
        <v>13</v>
      </c>
      <c r="H48" s="14">
        <v>0</v>
      </c>
      <c r="I48" s="14">
        <v>0</v>
      </c>
      <c r="J48" s="14">
        <v>1</v>
      </c>
    </row>
    <row r="49" spans="1:15" x14ac:dyDescent="0.35">
      <c r="A49" s="79"/>
      <c r="B49" s="79"/>
      <c r="C49" s="99"/>
      <c r="D49" s="16" t="s">
        <v>192</v>
      </c>
      <c r="E49" s="17" t="s">
        <v>6</v>
      </c>
      <c r="F49" s="12">
        <v>67</v>
      </c>
      <c r="G49" s="14">
        <v>0</v>
      </c>
      <c r="H49" s="14">
        <v>0</v>
      </c>
      <c r="I49" s="12">
        <v>2</v>
      </c>
      <c r="J49" s="14">
        <v>2</v>
      </c>
    </row>
    <row r="50" spans="1:15" x14ac:dyDescent="0.35">
      <c r="A50" s="79"/>
      <c r="B50" s="79"/>
      <c r="C50" s="99"/>
      <c r="D50" s="16" t="s">
        <v>192</v>
      </c>
      <c r="E50" s="17" t="s">
        <v>7</v>
      </c>
      <c r="F50" s="12">
        <v>74</v>
      </c>
      <c r="G50" s="12">
        <v>9</v>
      </c>
      <c r="H50" s="12">
        <v>2</v>
      </c>
      <c r="I50" s="12">
        <v>2</v>
      </c>
      <c r="J50" s="12">
        <v>1</v>
      </c>
    </row>
    <row r="51" spans="1:15" x14ac:dyDescent="0.35">
      <c r="A51" s="79"/>
      <c r="B51" s="79"/>
      <c r="C51" s="99"/>
      <c r="D51" s="16" t="s">
        <v>192</v>
      </c>
      <c r="E51" s="17" t="s">
        <v>8</v>
      </c>
      <c r="F51" s="12">
        <v>204</v>
      </c>
      <c r="G51" s="12">
        <v>32</v>
      </c>
      <c r="H51" s="12">
        <v>10</v>
      </c>
      <c r="I51" s="12">
        <v>6</v>
      </c>
      <c r="J51" s="14">
        <v>3</v>
      </c>
      <c r="K51" s="2">
        <f>SUM(F44:F51)</f>
        <v>871</v>
      </c>
      <c r="L51" s="2">
        <f t="shared" ref="L51:O51" si="4">SUM(G44:G51)</f>
        <v>150</v>
      </c>
      <c r="M51" s="2">
        <f t="shared" si="4"/>
        <v>13</v>
      </c>
      <c r="N51" s="2">
        <f t="shared" si="4"/>
        <v>25</v>
      </c>
      <c r="O51" s="2">
        <f t="shared" si="4"/>
        <v>11</v>
      </c>
    </row>
    <row r="52" spans="1:15" x14ac:dyDescent="0.35">
      <c r="A52" s="9" t="s">
        <v>661</v>
      </c>
      <c r="B52" s="9" t="s">
        <v>662</v>
      </c>
      <c r="C52" s="96">
        <v>1068</v>
      </c>
      <c r="D52" s="16" t="s">
        <v>193</v>
      </c>
      <c r="E52" s="17" t="s">
        <v>4</v>
      </c>
      <c r="F52" s="13">
        <v>68</v>
      </c>
      <c r="G52" s="13">
        <v>15</v>
      </c>
      <c r="H52" s="13">
        <v>2</v>
      </c>
      <c r="I52" s="13">
        <v>1</v>
      </c>
      <c r="J52" s="15">
        <v>0</v>
      </c>
    </row>
    <row r="53" spans="1:15" x14ac:dyDescent="0.35">
      <c r="A53" s="73"/>
      <c r="B53" s="73"/>
      <c r="C53" s="97"/>
      <c r="D53" s="16" t="s">
        <v>193</v>
      </c>
      <c r="E53" s="17" t="s">
        <v>5</v>
      </c>
      <c r="F53" s="13">
        <v>71</v>
      </c>
      <c r="G53" s="13">
        <v>11</v>
      </c>
      <c r="H53" s="13">
        <v>3</v>
      </c>
      <c r="I53" s="13">
        <v>3</v>
      </c>
      <c r="J53" s="15">
        <v>1</v>
      </c>
    </row>
    <row r="54" spans="1:15" x14ac:dyDescent="0.35">
      <c r="A54" s="73"/>
      <c r="B54" s="73"/>
      <c r="C54" s="97"/>
      <c r="D54" s="16" t="s">
        <v>193</v>
      </c>
      <c r="E54" s="17" t="s">
        <v>6</v>
      </c>
      <c r="F54" s="13">
        <v>41</v>
      </c>
      <c r="G54" s="13">
        <v>11</v>
      </c>
      <c r="H54" s="15">
        <v>0</v>
      </c>
      <c r="I54" s="15">
        <v>0</v>
      </c>
      <c r="J54" s="15">
        <v>0</v>
      </c>
    </row>
    <row r="55" spans="1:15" x14ac:dyDescent="0.35">
      <c r="A55" s="73"/>
      <c r="B55" s="73"/>
      <c r="C55" s="97"/>
      <c r="D55" s="16" t="s">
        <v>193</v>
      </c>
      <c r="E55" s="17" t="s">
        <v>7</v>
      </c>
      <c r="F55" s="13">
        <v>35</v>
      </c>
      <c r="G55" s="13">
        <v>4</v>
      </c>
      <c r="H55" s="15">
        <v>0</v>
      </c>
      <c r="I55" s="13">
        <v>3</v>
      </c>
      <c r="J55" s="15">
        <v>0</v>
      </c>
    </row>
    <row r="56" spans="1:15" x14ac:dyDescent="0.35">
      <c r="A56" s="73"/>
      <c r="B56" s="73"/>
      <c r="C56" s="97"/>
      <c r="D56" s="16" t="s">
        <v>193</v>
      </c>
      <c r="E56" s="17" t="s">
        <v>8</v>
      </c>
      <c r="F56" s="13">
        <v>15</v>
      </c>
      <c r="G56" s="13">
        <v>3</v>
      </c>
      <c r="H56" s="15">
        <v>0</v>
      </c>
      <c r="I56" s="15">
        <v>1</v>
      </c>
      <c r="J56" s="15">
        <v>0</v>
      </c>
    </row>
    <row r="57" spans="1:15" x14ac:dyDescent="0.35">
      <c r="A57" s="73"/>
      <c r="B57" s="73"/>
      <c r="C57" s="97"/>
      <c r="D57" s="16" t="s">
        <v>188</v>
      </c>
      <c r="E57" s="17" t="s">
        <v>6</v>
      </c>
      <c r="F57" s="13">
        <v>76</v>
      </c>
      <c r="G57" s="13">
        <v>27</v>
      </c>
      <c r="H57" s="15">
        <v>2</v>
      </c>
      <c r="I57" s="13">
        <v>1</v>
      </c>
      <c r="J57" s="15">
        <v>2</v>
      </c>
      <c r="K57" s="2">
        <f>SUM(F52:F57)</f>
        <v>306</v>
      </c>
      <c r="L57" s="2">
        <f t="shared" ref="L57:O57" si="5">SUM(G52:G57)</f>
        <v>71</v>
      </c>
      <c r="M57" s="2">
        <f t="shared" si="5"/>
        <v>7</v>
      </c>
      <c r="N57" s="2">
        <f t="shared" si="5"/>
        <v>9</v>
      </c>
      <c r="O57" s="2">
        <f t="shared" si="5"/>
        <v>3</v>
      </c>
    </row>
    <row r="58" spans="1:15" x14ac:dyDescent="0.35">
      <c r="A58" s="80"/>
      <c r="B58" s="80" t="s">
        <v>721</v>
      </c>
      <c r="C58" s="105">
        <f>SUM(C5:C52)</f>
        <v>12149</v>
      </c>
      <c r="D58" s="336" t="s">
        <v>229</v>
      </c>
      <c r="E58" s="337"/>
      <c r="F58" s="20">
        <f>SUM(F5:F56)</f>
        <v>4518</v>
      </c>
      <c r="G58" s="20">
        <f>SUM(G5:G56)</f>
        <v>1010</v>
      </c>
      <c r="H58" s="20">
        <f>SUM(H5:H56)</f>
        <v>132</v>
      </c>
      <c r="I58" s="20">
        <f>SUM(I5:I56)</f>
        <v>181</v>
      </c>
      <c r="J58" s="20">
        <f>SUM(J5:J56)</f>
        <v>29</v>
      </c>
    </row>
    <row r="59" spans="1:15" x14ac:dyDescent="0.35">
      <c r="A59" s="338" t="s">
        <v>745</v>
      </c>
      <c r="B59" s="338"/>
      <c r="C59" s="105">
        <f>SUM(C58,F58,G58,H58,I58,J58)</f>
        <v>18019</v>
      </c>
    </row>
  </sheetData>
  <mergeCells count="7">
    <mergeCell ref="A59:B59"/>
    <mergeCell ref="D58:E58"/>
    <mergeCell ref="D1:J1"/>
    <mergeCell ref="D2:J2"/>
    <mergeCell ref="F3:J3"/>
    <mergeCell ref="A1:C1"/>
    <mergeCell ref="A2:C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"/>
  <sheetViews>
    <sheetView workbookViewId="0">
      <selection sqref="A1:C1"/>
    </sheetView>
  </sheetViews>
  <sheetFormatPr defaultRowHeight="21" x14ac:dyDescent="0.35"/>
  <cols>
    <col min="1" max="1" width="18.28515625" style="2" customWidth="1"/>
    <col min="2" max="2" width="18.7109375" style="2" customWidth="1"/>
    <col min="3" max="3" width="18" style="94" customWidth="1"/>
    <col min="4" max="4" width="14.7109375" style="2" customWidth="1"/>
    <col min="5" max="5" width="9.140625" style="22"/>
    <col min="6" max="6" width="15.28515625" style="22" customWidth="1"/>
    <col min="7" max="7" width="14.42578125" style="22" customWidth="1"/>
    <col min="8" max="8" width="12" style="22" customWidth="1"/>
    <col min="9" max="9" width="20" style="22" customWidth="1"/>
    <col min="10" max="10" width="14.85546875" style="22" customWidth="1"/>
    <col min="11" max="16384" width="9.140625" style="2"/>
  </cols>
  <sheetData>
    <row r="1" spans="1:15" x14ac:dyDescent="0.35">
      <c r="A1" s="334" t="s">
        <v>746</v>
      </c>
      <c r="B1" s="334"/>
      <c r="C1" s="334"/>
      <c r="D1" s="330" t="s">
        <v>232</v>
      </c>
      <c r="E1" s="330"/>
      <c r="F1" s="330"/>
      <c r="G1" s="330"/>
      <c r="H1" s="330"/>
      <c r="I1" s="330"/>
      <c r="J1" s="330"/>
    </row>
    <row r="2" spans="1:15" x14ac:dyDescent="0.35">
      <c r="A2" s="334" t="s">
        <v>861</v>
      </c>
      <c r="B2" s="334"/>
      <c r="C2" s="334"/>
      <c r="D2" s="330" t="s">
        <v>862</v>
      </c>
      <c r="E2" s="330"/>
      <c r="F2" s="330"/>
      <c r="G2" s="330"/>
      <c r="H2" s="330"/>
      <c r="I2" s="330"/>
      <c r="J2" s="330"/>
    </row>
    <row r="3" spans="1:15" x14ac:dyDescent="0.35">
      <c r="A3" s="90"/>
      <c r="B3" s="90"/>
      <c r="C3" s="109"/>
      <c r="D3" s="44"/>
      <c r="E3" s="44"/>
      <c r="F3" s="335" t="s">
        <v>716</v>
      </c>
      <c r="G3" s="335"/>
      <c r="H3" s="335"/>
      <c r="I3" s="335"/>
      <c r="J3" s="335"/>
    </row>
    <row r="4" spans="1:15" s="23" customFormat="1" x14ac:dyDescent="0.35">
      <c r="A4" s="107" t="s">
        <v>714</v>
      </c>
      <c r="B4" s="107" t="s">
        <v>254</v>
      </c>
      <c r="C4" s="86" t="s">
        <v>715</v>
      </c>
      <c r="D4" s="24" t="s">
        <v>223</v>
      </c>
      <c r="E4" s="59" t="s">
        <v>222</v>
      </c>
      <c r="F4" s="59" t="s">
        <v>218</v>
      </c>
      <c r="G4" s="59" t="s">
        <v>219</v>
      </c>
      <c r="H4" s="59" t="s">
        <v>220</v>
      </c>
      <c r="I4" s="59" t="s">
        <v>231</v>
      </c>
      <c r="J4" s="59" t="s">
        <v>221</v>
      </c>
    </row>
    <row r="5" spans="1:15" x14ac:dyDescent="0.35">
      <c r="A5" s="3" t="s">
        <v>665</v>
      </c>
      <c r="B5" s="3" t="s">
        <v>666</v>
      </c>
      <c r="C5" s="131">
        <v>4695</v>
      </c>
      <c r="D5" s="16" t="s">
        <v>199</v>
      </c>
      <c r="E5" s="17" t="s">
        <v>17</v>
      </c>
      <c r="F5" s="12">
        <v>519</v>
      </c>
      <c r="G5" s="12">
        <v>217</v>
      </c>
      <c r="H5" s="12">
        <v>29</v>
      </c>
      <c r="I5" s="12">
        <v>30</v>
      </c>
      <c r="J5" s="12">
        <v>2</v>
      </c>
    </row>
    <row r="6" spans="1:15" x14ac:dyDescent="0.35">
      <c r="A6" s="79"/>
      <c r="B6" s="79"/>
      <c r="C6" s="99"/>
      <c r="D6" s="16" t="s">
        <v>199</v>
      </c>
      <c r="E6" s="17" t="s">
        <v>2</v>
      </c>
      <c r="F6" s="12">
        <v>47</v>
      </c>
      <c r="G6" s="12">
        <v>27</v>
      </c>
      <c r="H6" s="12">
        <v>1</v>
      </c>
      <c r="I6" s="12">
        <v>4</v>
      </c>
      <c r="J6" s="12">
        <v>0</v>
      </c>
    </row>
    <row r="7" spans="1:15" x14ac:dyDescent="0.35">
      <c r="A7" s="79"/>
      <c r="B7" s="79"/>
      <c r="C7" s="99"/>
      <c r="D7" s="16" t="s">
        <v>199</v>
      </c>
      <c r="E7" s="17" t="s">
        <v>3</v>
      </c>
      <c r="F7" s="12">
        <v>113</v>
      </c>
      <c r="G7" s="12">
        <v>26</v>
      </c>
      <c r="H7" s="12">
        <v>5</v>
      </c>
      <c r="I7" s="12">
        <v>8</v>
      </c>
      <c r="J7" s="12">
        <v>0</v>
      </c>
    </row>
    <row r="8" spans="1:15" x14ac:dyDescent="0.35">
      <c r="A8" s="79"/>
      <c r="B8" s="79"/>
      <c r="C8" s="99"/>
      <c r="D8" s="16" t="s">
        <v>199</v>
      </c>
      <c r="E8" s="17" t="s">
        <v>4</v>
      </c>
      <c r="F8" s="12">
        <v>621</v>
      </c>
      <c r="G8" s="12">
        <v>93</v>
      </c>
      <c r="H8" s="12">
        <v>5</v>
      </c>
      <c r="I8" s="12">
        <v>15</v>
      </c>
      <c r="J8" s="12">
        <v>6</v>
      </c>
    </row>
    <row r="9" spans="1:15" x14ac:dyDescent="0.35">
      <c r="A9" s="79"/>
      <c r="B9" s="79"/>
      <c r="C9" s="99"/>
      <c r="D9" s="16" t="s">
        <v>199</v>
      </c>
      <c r="E9" s="17" t="s">
        <v>9</v>
      </c>
      <c r="F9" s="12">
        <v>70</v>
      </c>
      <c r="G9" s="12">
        <v>24</v>
      </c>
      <c r="H9" s="12">
        <v>1</v>
      </c>
      <c r="I9" s="12">
        <v>3</v>
      </c>
      <c r="J9" s="12">
        <v>1</v>
      </c>
    </row>
    <row r="10" spans="1:15" x14ac:dyDescent="0.35">
      <c r="A10" s="79"/>
      <c r="B10" s="79"/>
      <c r="C10" s="99"/>
      <c r="D10" s="16" t="s">
        <v>199</v>
      </c>
      <c r="E10" s="17" t="s">
        <v>13</v>
      </c>
      <c r="F10" s="12">
        <v>120</v>
      </c>
      <c r="G10" s="12">
        <v>42</v>
      </c>
      <c r="H10" s="12">
        <v>7</v>
      </c>
      <c r="I10" s="12">
        <v>3</v>
      </c>
      <c r="J10" s="12">
        <v>0</v>
      </c>
    </row>
    <row r="11" spans="1:15" x14ac:dyDescent="0.35">
      <c r="A11" s="79"/>
      <c r="B11" s="79"/>
      <c r="C11" s="99"/>
      <c r="D11" s="16" t="s">
        <v>199</v>
      </c>
      <c r="E11" s="17" t="s">
        <v>21</v>
      </c>
      <c r="F11" s="12">
        <v>181</v>
      </c>
      <c r="G11" s="12">
        <v>72</v>
      </c>
      <c r="H11" s="12">
        <v>12</v>
      </c>
      <c r="I11" s="12">
        <v>7</v>
      </c>
      <c r="J11" s="12">
        <v>1</v>
      </c>
      <c r="K11" s="2">
        <f>SUM(F5:F11)</f>
        <v>1671</v>
      </c>
      <c r="L11" s="2">
        <f t="shared" ref="L11:O11" si="0">SUM(G5:G11)</f>
        <v>501</v>
      </c>
      <c r="M11" s="2">
        <f t="shared" si="0"/>
        <v>60</v>
      </c>
      <c r="N11" s="2">
        <f t="shared" si="0"/>
        <v>70</v>
      </c>
      <c r="O11" s="2">
        <f t="shared" si="0"/>
        <v>10</v>
      </c>
    </row>
    <row r="12" spans="1:15" x14ac:dyDescent="0.35">
      <c r="A12" s="6" t="s">
        <v>667</v>
      </c>
      <c r="B12" s="6" t="s">
        <v>668</v>
      </c>
      <c r="C12" s="132">
        <v>3742</v>
      </c>
      <c r="D12" s="16" t="s">
        <v>194</v>
      </c>
      <c r="E12" s="17" t="s">
        <v>17</v>
      </c>
      <c r="F12" s="13">
        <v>139</v>
      </c>
      <c r="G12" s="13">
        <v>33</v>
      </c>
      <c r="H12" s="13">
        <v>5</v>
      </c>
      <c r="I12" s="15">
        <v>7</v>
      </c>
      <c r="J12" s="15">
        <v>1</v>
      </c>
    </row>
    <row r="13" spans="1:15" x14ac:dyDescent="0.35">
      <c r="D13" s="16" t="s">
        <v>194</v>
      </c>
      <c r="E13" s="17" t="s">
        <v>2</v>
      </c>
      <c r="F13" s="13">
        <v>172</v>
      </c>
      <c r="G13" s="13">
        <v>46</v>
      </c>
      <c r="H13" s="13">
        <v>4</v>
      </c>
      <c r="I13" s="13">
        <v>6</v>
      </c>
      <c r="J13" s="15">
        <v>1</v>
      </c>
    </row>
    <row r="14" spans="1:15" x14ac:dyDescent="0.35">
      <c r="A14" s="73"/>
      <c r="B14" s="73"/>
      <c r="C14" s="97"/>
      <c r="D14" s="16" t="s">
        <v>194</v>
      </c>
      <c r="E14" s="17" t="s">
        <v>3</v>
      </c>
      <c r="F14" s="13">
        <v>106</v>
      </c>
      <c r="G14" s="13">
        <v>2</v>
      </c>
      <c r="H14" s="15">
        <v>0</v>
      </c>
      <c r="I14" s="15">
        <v>0</v>
      </c>
      <c r="J14" s="15">
        <v>1</v>
      </c>
    </row>
    <row r="15" spans="1:15" x14ac:dyDescent="0.35">
      <c r="A15" s="73"/>
      <c r="B15" s="73"/>
      <c r="C15" s="97"/>
      <c r="D15" s="16" t="s">
        <v>194</v>
      </c>
      <c r="E15" s="17" t="s">
        <v>4</v>
      </c>
      <c r="F15" s="13">
        <v>557</v>
      </c>
      <c r="G15" s="13">
        <v>244</v>
      </c>
      <c r="H15" s="13">
        <v>20</v>
      </c>
      <c r="I15" s="13">
        <v>36</v>
      </c>
      <c r="J15" s="15">
        <v>0</v>
      </c>
    </row>
    <row r="16" spans="1:15" x14ac:dyDescent="0.35">
      <c r="A16" s="73"/>
      <c r="B16" s="73"/>
      <c r="C16" s="97"/>
      <c r="D16" s="16" t="s">
        <v>194</v>
      </c>
      <c r="E16" s="17" t="s">
        <v>5</v>
      </c>
      <c r="F16" s="13">
        <v>124</v>
      </c>
      <c r="G16" s="13">
        <v>32</v>
      </c>
      <c r="H16" s="13">
        <v>4</v>
      </c>
      <c r="I16" s="13">
        <v>7</v>
      </c>
      <c r="J16" s="15">
        <v>0</v>
      </c>
    </row>
    <row r="17" spans="1:15" x14ac:dyDescent="0.35">
      <c r="A17" s="73"/>
      <c r="B17" s="73"/>
      <c r="C17" s="97"/>
      <c r="D17" s="16" t="s">
        <v>194</v>
      </c>
      <c r="E17" s="17" t="s">
        <v>6</v>
      </c>
      <c r="F17" s="13">
        <v>108</v>
      </c>
      <c r="G17" s="13">
        <v>17</v>
      </c>
      <c r="H17" s="13">
        <v>8</v>
      </c>
      <c r="I17" s="13">
        <v>6</v>
      </c>
      <c r="J17" s="13">
        <v>0</v>
      </c>
    </row>
    <row r="18" spans="1:15" x14ac:dyDescent="0.35">
      <c r="A18" s="73"/>
      <c r="B18" s="73"/>
      <c r="C18" s="97"/>
      <c r="D18" s="16" t="s">
        <v>194</v>
      </c>
      <c r="E18" s="17" t="s">
        <v>7</v>
      </c>
      <c r="F18" s="13">
        <v>59</v>
      </c>
      <c r="G18" s="13">
        <v>29</v>
      </c>
      <c r="H18" s="13">
        <v>5</v>
      </c>
      <c r="I18" s="13">
        <v>10</v>
      </c>
      <c r="J18" s="15">
        <v>0</v>
      </c>
    </row>
    <row r="19" spans="1:15" x14ac:dyDescent="0.35">
      <c r="A19" s="73"/>
      <c r="B19" s="73"/>
      <c r="C19" s="97"/>
      <c r="D19" s="16" t="s">
        <v>194</v>
      </c>
      <c r="E19" s="17" t="s">
        <v>8</v>
      </c>
      <c r="F19" s="13">
        <v>62</v>
      </c>
      <c r="G19" s="13">
        <v>15</v>
      </c>
      <c r="H19" s="15">
        <v>0</v>
      </c>
      <c r="I19" s="13">
        <v>3</v>
      </c>
      <c r="J19" s="15">
        <v>0</v>
      </c>
    </row>
    <row r="20" spans="1:15" x14ac:dyDescent="0.35">
      <c r="A20" s="73"/>
      <c r="B20" s="73"/>
      <c r="C20" s="97"/>
      <c r="D20" s="16" t="s">
        <v>194</v>
      </c>
      <c r="E20" s="17" t="s">
        <v>9</v>
      </c>
      <c r="F20" s="13">
        <v>452</v>
      </c>
      <c r="G20" s="13">
        <v>69</v>
      </c>
      <c r="H20" s="13">
        <v>17</v>
      </c>
      <c r="I20" s="13">
        <v>21</v>
      </c>
      <c r="J20" s="13">
        <v>1</v>
      </c>
      <c r="K20" s="2">
        <f>SUM(F12:F20)</f>
        <v>1779</v>
      </c>
      <c r="L20" s="2">
        <f t="shared" ref="L20:O20" si="1">SUM(G12:G20)</f>
        <v>487</v>
      </c>
      <c r="M20" s="2">
        <f t="shared" si="1"/>
        <v>63</v>
      </c>
      <c r="N20" s="2">
        <f t="shared" si="1"/>
        <v>96</v>
      </c>
      <c r="O20" s="2">
        <f t="shared" si="1"/>
        <v>4</v>
      </c>
    </row>
    <row r="21" spans="1:15" x14ac:dyDescent="0.35">
      <c r="A21" s="3" t="s">
        <v>653</v>
      </c>
      <c r="B21" s="3" t="s">
        <v>654</v>
      </c>
      <c r="C21" s="131">
        <v>1912</v>
      </c>
      <c r="D21" s="16" t="s">
        <v>195</v>
      </c>
      <c r="E21" s="17" t="s">
        <v>17</v>
      </c>
      <c r="F21" s="12">
        <v>122</v>
      </c>
      <c r="G21" s="12">
        <v>18</v>
      </c>
      <c r="H21" s="14">
        <v>0</v>
      </c>
      <c r="I21" s="12">
        <v>1</v>
      </c>
      <c r="J21" s="14">
        <v>0</v>
      </c>
    </row>
    <row r="22" spans="1:15" x14ac:dyDescent="0.35">
      <c r="A22" s="79"/>
      <c r="B22" s="79"/>
      <c r="C22" s="99"/>
      <c r="D22" s="16" t="s">
        <v>195</v>
      </c>
      <c r="E22" s="17" t="s">
        <v>2</v>
      </c>
      <c r="F22" s="12">
        <v>88</v>
      </c>
      <c r="G22" s="12">
        <v>16</v>
      </c>
      <c r="H22" s="14">
        <v>0</v>
      </c>
      <c r="I22" s="12">
        <v>3</v>
      </c>
      <c r="J22" s="14">
        <v>2</v>
      </c>
    </row>
    <row r="23" spans="1:15" x14ac:dyDescent="0.35">
      <c r="A23" s="79"/>
      <c r="B23" s="79"/>
      <c r="C23" s="99"/>
      <c r="D23" s="16" t="s">
        <v>195</v>
      </c>
      <c r="E23" s="17" t="s">
        <v>3</v>
      </c>
      <c r="F23" s="12">
        <v>132</v>
      </c>
      <c r="G23" s="12">
        <v>16</v>
      </c>
      <c r="H23" s="12">
        <v>6</v>
      </c>
      <c r="I23" s="12">
        <v>5</v>
      </c>
      <c r="J23" s="14">
        <v>1</v>
      </c>
    </row>
    <row r="24" spans="1:15" x14ac:dyDescent="0.35">
      <c r="A24" s="79"/>
      <c r="B24" s="79"/>
      <c r="C24" s="99"/>
      <c r="D24" s="16" t="s">
        <v>195</v>
      </c>
      <c r="E24" s="17" t="s">
        <v>4</v>
      </c>
      <c r="F24" s="12">
        <v>100</v>
      </c>
      <c r="G24" s="12">
        <v>12</v>
      </c>
      <c r="H24" s="12">
        <v>1</v>
      </c>
      <c r="I24" s="12">
        <v>1</v>
      </c>
      <c r="J24" s="14">
        <v>0</v>
      </c>
    </row>
    <row r="25" spans="1:15" x14ac:dyDescent="0.35">
      <c r="A25" s="79"/>
      <c r="B25" s="79"/>
      <c r="C25" s="99"/>
      <c r="D25" s="16" t="s">
        <v>195</v>
      </c>
      <c r="E25" s="17" t="s">
        <v>5</v>
      </c>
      <c r="F25" s="12">
        <v>56</v>
      </c>
      <c r="G25" s="12">
        <v>6</v>
      </c>
      <c r="H25" s="14">
        <v>0</v>
      </c>
      <c r="I25" s="12">
        <v>3</v>
      </c>
      <c r="J25" s="14">
        <v>0</v>
      </c>
    </row>
    <row r="26" spans="1:15" x14ac:dyDescent="0.35">
      <c r="A26" s="79"/>
      <c r="B26" s="79"/>
      <c r="C26" s="99"/>
      <c r="D26" s="16" t="s">
        <v>195</v>
      </c>
      <c r="E26" s="17" t="s">
        <v>6</v>
      </c>
      <c r="F26" s="12">
        <v>63</v>
      </c>
      <c r="G26" s="12">
        <v>5</v>
      </c>
      <c r="H26" s="12">
        <v>5</v>
      </c>
      <c r="I26" s="12">
        <v>2</v>
      </c>
      <c r="J26" s="12">
        <v>1</v>
      </c>
    </row>
    <row r="27" spans="1:15" x14ac:dyDescent="0.35">
      <c r="A27" s="79"/>
      <c r="B27" s="79"/>
      <c r="C27" s="99"/>
      <c r="D27" s="16" t="s">
        <v>195</v>
      </c>
      <c r="E27" s="17" t="s">
        <v>7</v>
      </c>
      <c r="F27" s="12">
        <v>107</v>
      </c>
      <c r="G27" s="12">
        <v>13</v>
      </c>
      <c r="H27" s="14">
        <v>0</v>
      </c>
      <c r="I27" s="12">
        <v>2</v>
      </c>
      <c r="J27" s="14">
        <v>0</v>
      </c>
      <c r="K27" s="2">
        <f>SUM(F21:F27)</f>
        <v>668</v>
      </c>
      <c r="L27" s="2">
        <f t="shared" ref="L27:O27" si="2">SUM(G21:G27)</f>
        <v>86</v>
      </c>
      <c r="M27" s="2">
        <f t="shared" si="2"/>
        <v>12</v>
      </c>
      <c r="N27" s="2">
        <f t="shared" si="2"/>
        <v>17</v>
      </c>
      <c r="O27" s="2">
        <f t="shared" si="2"/>
        <v>4</v>
      </c>
    </row>
    <row r="28" spans="1:15" x14ac:dyDescent="0.35">
      <c r="A28" s="6" t="s">
        <v>669</v>
      </c>
      <c r="B28" s="6" t="s">
        <v>670</v>
      </c>
      <c r="C28" s="132">
        <v>2694</v>
      </c>
      <c r="D28" s="16" t="s">
        <v>196</v>
      </c>
      <c r="E28" s="17" t="s">
        <v>0</v>
      </c>
      <c r="F28" s="13">
        <v>1</v>
      </c>
      <c r="G28" s="15">
        <v>0</v>
      </c>
      <c r="H28" s="15">
        <v>0</v>
      </c>
      <c r="I28" s="15">
        <v>0</v>
      </c>
      <c r="J28" s="15">
        <v>0</v>
      </c>
    </row>
    <row r="29" spans="1:15" x14ac:dyDescent="0.35">
      <c r="A29" s="73"/>
      <c r="B29" s="73"/>
      <c r="C29" s="97"/>
      <c r="D29" s="16" t="s">
        <v>196</v>
      </c>
      <c r="E29" s="17" t="s">
        <v>17</v>
      </c>
      <c r="F29" s="13">
        <v>52</v>
      </c>
      <c r="G29" s="13">
        <v>7</v>
      </c>
      <c r="H29" s="15">
        <v>0</v>
      </c>
      <c r="I29" s="13">
        <v>0</v>
      </c>
      <c r="J29" s="15">
        <v>1</v>
      </c>
    </row>
    <row r="30" spans="1:15" x14ac:dyDescent="0.35">
      <c r="A30" s="73"/>
      <c r="B30" s="73"/>
      <c r="C30" s="97"/>
      <c r="D30" s="16" t="s">
        <v>196</v>
      </c>
      <c r="E30" s="17" t="s">
        <v>2</v>
      </c>
      <c r="F30" s="13">
        <v>95</v>
      </c>
      <c r="G30" s="13">
        <v>15</v>
      </c>
      <c r="H30" s="13">
        <v>4</v>
      </c>
      <c r="I30" s="13">
        <v>8</v>
      </c>
      <c r="J30" s="15">
        <v>0</v>
      </c>
    </row>
    <row r="31" spans="1:15" x14ac:dyDescent="0.35">
      <c r="A31" s="73"/>
      <c r="B31" s="73"/>
      <c r="C31" s="97"/>
      <c r="D31" s="16" t="s">
        <v>196</v>
      </c>
      <c r="E31" s="17" t="s">
        <v>3</v>
      </c>
      <c r="F31" s="13">
        <v>112</v>
      </c>
      <c r="G31" s="13">
        <v>19</v>
      </c>
      <c r="H31" s="13">
        <v>6</v>
      </c>
      <c r="I31" s="13">
        <v>3</v>
      </c>
      <c r="J31" s="15">
        <v>3</v>
      </c>
    </row>
    <row r="32" spans="1:15" x14ac:dyDescent="0.35">
      <c r="A32" s="73"/>
      <c r="B32" s="73"/>
      <c r="C32" s="97"/>
      <c r="D32" s="16" t="s">
        <v>196</v>
      </c>
      <c r="E32" s="17" t="s">
        <v>4</v>
      </c>
      <c r="F32" s="13">
        <v>111</v>
      </c>
      <c r="G32" s="13">
        <v>23</v>
      </c>
      <c r="H32" s="13">
        <v>1</v>
      </c>
      <c r="I32" s="13">
        <v>5</v>
      </c>
      <c r="J32" s="15">
        <v>2</v>
      </c>
    </row>
    <row r="33" spans="1:15" x14ac:dyDescent="0.35">
      <c r="A33" s="73"/>
      <c r="B33" s="73"/>
      <c r="C33" s="97"/>
      <c r="D33" s="16" t="s">
        <v>196</v>
      </c>
      <c r="E33" s="17" t="s">
        <v>5</v>
      </c>
      <c r="F33" s="13">
        <v>140</v>
      </c>
      <c r="G33" s="13">
        <v>10</v>
      </c>
      <c r="H33" s="13">
        <v>5</v>
      </c>
      <c r="I33" s="13">
        <v>3</v>
      </c>
      <c r="J33" s="15">
        <v>0</v>
      </c>
      <c r="N33" s="1"/>
      <c r="O33" s="1"/>
    </row>
    <row r="34" spans="1:15" x14ac:dyDescent="0.35">
      <c r="A34" s="73"/>
      <c r="B34" s="73"/>
      <c r="C34" s="97"/>
      <c r="D34" s="16" t="s">
        <v>196</v>
      </c>
      <c r="E34" s="17" t="s">
        <v>6</v>
      </c>
      <c r="F34" s="13">
        <v>70</v>
      </c>
      <c r="G34" s="13">
        <v>13</v>
      </c>
      <c r="H34" s="13">
        <v>2</v>
      </c>
      <c r="I34" s="13">
        <v>2</v>
      </c>
      <c r="J34" s="15">
        <v>0</v>
      </c>
    </row>
    <row r="35" spans="1:15" x14ac:dyDescent="0.35">
      <c r="A35" s="73"/>
      <c r="B35" s="73"/>
      <c r="C35" s="97"/>
      <c r="D35" s="16" t="s">
        <v>196</v>
      </c>
      <c r="E35" s="17" t="s">
        <v>7</v>
      </c>
      <c r="F35" s="13">
        <v>100</v>
      </c>
      <c r="G35" s="13">
        <v>14</v>
      </c>
      <c r="H35" s="13">
        <v>2</v>
      </c>
      <c r="I35" s="13">
        <v>4</v>
      </c>
      <c r="J35" s="15">
        <v>0</v>
      </c>
    </row>
    <row r="36" spans="1:15" x14ac:dyDescent="0.35">
      <c r="A36" s="73"/>
      <c r="B36" s="73"/>
      <c r="C36" s="97"/>
      <c r="D36" s="16" t="s">
        <v>196</v>
      </c>
      <c r="E36" s="17" t="s">
        <v>8</v>
      </c>
      <c r="F36" s="13">
        <v>116</v>
      </c>
      <c r="G36" s="13">
        <v>17</v>
      </c>
      <c r="H36" s="13">
        <v>1</v>
      </c>
      <c r="I36" s="15">
        <v>0</v>
      </c>
      <c r="J36" s="15">
        <v>2</v>
      </c>
    </row>
    <row r="37" spans="1:15" x14ac:dyDescent="0.35">
      <c r="A37" s="73"/>
      <c r="B37" s="73"/>
      <c r="C37" s="97"/>
      <c r="D37" s="16" t="s">
        <v>196</v>
      </c>
      <c r="E37" s="17" t="s">
        <v>9</v>
      </c>
      <c r="F37" s="13">
        <v>117</v>
      </c>
      <c r="G37" s="13">
        <v>28</v>
      </c>
      <c r="H37" s="13">
        <v>4</v>
      </c>
      <c r="I37" s="13">
        <v>6</v>
      </c>
      <c r="J37" s="15">
        <v>0</v>
      </c>
    </row>
    <row r="38" spans="1:15" x14ac:dyDescent="0.35">
      <c r="A38" s="73"/>
      <c r="B38" s="73"/>
      <c r="C38" s="97"/>
      <c r="D38" s="16" t="s">
        <v>196</v>
      </c>
      <c r="E38" s="17" t="s">
        <v>11</v>
      </c>
      <c r="F38" s="13">
        <v>287</v>
      </c>
      <c r="G38" s="13">
        <v>40</v>
      </c>
      <c r="H38" s="13">
        <v>13</v>
      </c>
      <c r="I38" s="13">
        <v>12</v>
      </c>
      <c r="J38" s="15">
        <v>0</v>
      </c>
      <c r="K38" s="2">
        <f>SUM(F28:F38)</f>
        <v>1201</v>
      </c>
      <c r="L38" s="2">
        <f t="shared" ref="L38:O38" si="3">SUM(G28:G38)</f>
        <v>186</v>
      </c>
      <c r="M38" s="2">
        <f t="shared" si="3"/>
        <v>38</v>
      </c>
      <c r="N38" s="2">
        <f t="shared" si="3"/>
        <v>43</v>
      </c>
      <c r="O38" s="2">
        <f t="shared" si="3"/>
        <v>8</v>
      </c>
    </row>
    <row r="39" spans="1:15" x14ac:dyDescent="0.35">
      <c r="A39" s="3" t="s">
        <v>671</v>
      </c>
      <c r="B39" s="3" t="s">
        <v>672</v>
      </c>
      <c r="C39" s="131">
        <v>2395</v>
      </c>
      <c r="D39" s="16" t="s">
        <v>197</v>
      </c>
      <c r="E39" s="17" t="s">
        <v>17</v>
      </c>
      <c r="F39" s="12">
        <v>149</v>
      </c>
      <c r="G39" s="12">
        <v>24</v>
      </c>
      <c r="H39" s="12">
        <v>5</v>
      </c>
      <c r="I39" s="12">
        <v>5</v>
      </c>
      <c r="J39" s="14">
        <v>4</v>
      </c>
    </row>
    <row r="40" spans="1:15" x14ac:dyDescent="0.35">
      <c r="A40" s="79"/>
      <c r="B40" s="79"/>
      <c r="C40" s="99"/>
      <c r="D40" s="16" t="s">
        <v>197</v>
      </c>
      <c r="E40" s="17" t="s">
        <v>2</v>
      </c>
      <c r="F40" s="12">
        <v>125</v>
      </c>
      <c r="G40" s="12">
        <v>8</v>
      </c>
      <c r="H40" s="14">
        <v>0</v>
      </c>
      <c r="I40" s="14">
        <v>0</v>
      </c>
      <c r="J40" s="14">
        <v>0</v>
      </c>
    </row>
    <row r="41" spans="1:15" x14ac:dyDescent="0.35">
      <c r="A41" s="79"/>
      <c r="B41" s="79"/>
      <c r="C41" s="99"/>
      <c r="D41" s="16" t="s">
        <v>197</v>
      </c>
      <c r="E41" s="17" t="s">
        <v>3</v>
      </c>
      <c r="F41" s="12">
        <v>79</v>
      </c>
      <c r="G41" s="12">
        <v>10</v>
      </c>
      <c r="H41" s="14">
        <v>0</v>
      </c>
      <c r="I41" s="12">
        <v>3</v>
      </c>
      <c r="J41" s="14">
        <v>1</v>
      </c>
    </row>
    <row r="42" spans="1:15" x14ac:dyDescent="0.35">
      <c r="A42" s="79"/>
      <c r="B42" s="79"/>
      <c r="C42" s="99"/>
      <c r="D42" s="16" t="s">
        <v>197</v>
      </c>
      <c r="E42" s="17" t="s">
        <v>4</v>
      </c>
      <c r="F42" s="12">
        <v>123</v>
      </c>
      <c r="G42" s="12">
        <v>20</v>
      </c>
      <c r="H42" s="12">
        <v>5</v>
      </c>
      <c r="I42" s="12">
        <v>3</v>
      </c>
      <c r="J42" s="14">
        <v>2</v>
      </c>
    </row>
    <row r="43" spans="1:15" x14ac:dyDescent="0.35">
      <c r="A43" s="79"/>
      <c r="B43" s="79"/>
      <c r="C43" s="99"/>
      <c r="D43" s="16" t="s">
        <v>197</v>
      </c>
      <c r="E43" s="17" t="s">
        <v>5</v>
      </c>
      <c r="F43" s="12">
        <v>123</v>
      </c>
      <c r="G43" s="12">
        <v>8</v>
      </c>
      <c r="H43" s="12">
        <v>1</v>
      </c>
      <c r="I43" s="12">
        <v>4</v>
      </c>
      <c r="J43" s="14">
        <v>1</v>
      </c>
    </row>
    <row r="44" spans="1:15" x14ac:dyDescent="0.35">
      <c r="A44" s="79"/>
      <c r="B44" s="79"/>
      <c r="C44" s="99"/>
      <c r="D44" s="16" t="s">
        <v>197</v>
      </c>
      <c r="E44" s="17" t="s">
        <v>6</v>
      </c>
      <c r="F44" s="12">
        <v>175</v>
      </c>
      <c r="G44" s="12">
        <v>9</v>
      </c>
      <c r="H44" s="12">
        <v>2</v>
      </c>
      <c r="I44" s="12">
        <v>2</v>
      </c>
      <c r="J44" s="14">
        <v>1</v>
      </c>
    </row>
    <row r="45" spans="1:15" x14ac:dyDescent="0.35">
      <c r="A45" s="79"/>
      <c r="B45" s="79"/>
      <c r="C45" s="99"/>
      <c r="D45" s="16" t="s">
        <v>197</v>
      </c>
      <c r="E45" s="17" t="s">
        <v>7</v>
      </c>
      <c r="F45" s="12">
        <v>53</v>
      </c>
      <c r="G45" s="12">
        <v>1</v>
      </c>
      <c r="H45" s="14">
        <v>0</v>
      </c>
      <c r="I45" s="12">
        <v>2</v>
      </c>
      <c r="J45" s="14">
        <v>1</v>
      </c>
    </row>
    <row r="46" spans="1:15" x14ac:dyDescent="0.35">
      <c r="A46" s="79"/>
      <c r="B46" s="79"/>
      <c r="C46" s="99"/>
      <c r="D46" s="16" t="s">
        <v>197</v>
      </c>
      <c r="E46" s="17" t="s">
        <v>8</v>
      </c>
      <c r="F46" s="12">
        <v>75</v>
      </c>
      <c r="G46" s="12">
        <v>4</v>
      </c>
      <c r="H46" s="14">
        <v>0</v>
      </c>
      <c r="I46" s="12">
        <v>2</v>
      </c>
      <c r="J46" s="14">
        <v>0</v>
      </c>
    </row>
    <row r="47" spans="1:15" x14ac:dyDescent="0.35">
      <c r="A47" s="79"/>
      <c r="B47" s="79"/>
      <c r="C47" s="99"/>
      <c r="D47" s="16" t="s">
        <v>197</v>
      </c>
      <c r="E47" s="17" t="s">
        <v>9</v>
      </c>
      <c r="F47" s="12">
        <v>36</v>
      </c>
      <c r="G47" s="12">
        <v>8</v>
      </c>
      <c r="H47" s="14">
        <v>0</v>
      </c>
      <c r="I47" s="12">
        <v>0</v>
      </c>
      <c r="J47" s="14">
        <v>2</v>
      </c>
    </row>
    <row r="48" spans="1:15" x14ac:dyDescent="0.35">
      <c r="A48" s="79"/>
      <c r="B48" s="79"/>
      <c r="C48" s="99"/>
      <c r="D48" s="16" t="s">
        <v>197</v>
      </c>
      <c r="E48" s="17" t="s">
        <v>11</v>
      </c>
      <c r="F48" s="12">
        <v>38</v>
      </c>
      <c r="G48" s="14">
        <v>10</v>
      </c>
      <c r="H48" s="14">
        <v>0</v>
      </c>
      <c r="I48" s="14">
        <v>0</v>
      </c>
      <c r="J48" s="14">
        <v>0</v>
      </c>
    </row>
    <row r="49" spans="1:15" x14ac:dyDescent="0.35">
      <c r="A49" s="79"/>
      <c r="B49" s="79"/>
      <c r="C49" s="99"/>
      <c r="D49" s="16" t="s">
        <v>197</v>
      </c>
      <c r="E49" s="17" t="s">
        <v>12</v>
      </c>
      <c r="F49" s="12">
        <v>103</v>
      </c>
      <c r="G49" s="12">
        <v>8</v>
      </c>
      <c r="H49" s="12">
        <v>3</v>
      </c>
      <c r="I49" s="12">
        <v>2</v>
      </c>
      <c r="J49" s="14">
        <v>0</v>
      </c>
    </row>
    <row r="50" spans="1:15" x14ac:dyDescent="0.35">
      <c r="A50" s="79"/>
      <c r="B50" s="79"/>
      <c r="C50" s="99"/>
      <c r="D50" s="16" t="s">
        <v>197</v>
      </c>
      <c r="E50" s="17" t="s">
        <v>13</v>
      </c>
      <c r="F50" s="12">
        <v>71</v>
      </c>
      <c r="G50" s="12">
        <v>0</v>
      </c>
      <c r="H50" s="14">
        <v>0</v>
      </c>
      <c r="I50" s="12">
        <v>1</v>
      </c>
      <c r="J50" s="14">
        <v>0</v>
      </c>
      <c r="K50" s="2">
        <f>SUM(F39:F50)</f>
        <v>1150</v>
      </c>
      <c r="L50" s="2">
        <f t="shared" ref="L50:O50" si="4">SUM(G39:G50)</f>
        <v>110</v>
      </c>
      <c r="M50" s="2">
        <f t="shared" si="4"/>
        <v>16</v>
      </c>
      <c r="N50" s="2">
        <f t="shared" si="4"/>
        <v>24</v>
      </c>
      <c r="O50" s="2">
        <f t="shared" si="4"/>
        <v>12</v>
      </c>
    </row>
    <row r="51" spans="1:15" x14ac:dyDescent="0.35">
      <c r="A51" s="6" t="s">
        <v>619</v>
      </c>
      <c r="B51" s="6" t="s">
        <v>620</v>
      </c>
      <c r="C51" s="132">
        <v>2001</v>
      </c>
      <c r="D51" s="16" t="s">
        <v>198</v>
      </c>
      <c r="E51" s="17" t="s">
        <v>17</v>
      </c>
      <c r="F51" s="13">
        <v>75</v>
      </c>
      <c r="G51" s="13">
        <v>18</v>
      </c>
      <c r="H51" s="15">
        <v>0</v>
      </c>
      <c r="I51" s="13">
        <v>1</v>
      </c>
      <c r="J51" s="15">
        <v>0</v>
      </c>
    </row>
    <row r="52" spans="1:15" x14ac:dyDescent="0.35">
      <c r="A52" s="73"/>
      <c r="B52" s="73"/>
      <c r="C52" s="97"/>
      <c r="D52" s="16" t="s">
        <v>198</v>
      </c>
      <c r="E52" s="17" t="s">
        <v>2</v>
      </c>
      <c r="F52" s="13">
        <v>74</v>
      </c>
      <c r="G52" s="13">
        <v>15</v>
      </c>
      <c r="H52" s="15">
        <v>0</v>
      </c>
      <c r="I52" s="13">
        <v>2</v>
      </c>
      <c r="J52" s="15">
        <v>0</v>
      </c>
    </row>
    <row r="53" spans="1:15" x14ac:dyDescent="0.35">
      <c r="A53" s="73"/>
      <c r="B53" s="73"/>
      <c r="C53" s="97"/>
      <c r="D53" s="16" t="s">
        <v>198</v>
      </c>
      <c r="E53" s="17" t="s">
        <v>3</v>
      </c>
      <c r="F53" s="13">
        <v>116</v>
      </c>
      <c r="G53" s="13">
        <v>5</v>
      </c>
      <c r="H53" s="13">
        <v>2</v>
      </c>
      <c r="I53" s="13">
        <v>3</v>
      </c>
      <c r="J53" s="15">
        <v>1</v>
      </c>
    </row>
    <row r="54" spans="1:15" x14ac:dyDescent="0.35">
      <c r="A54" s="73"/>
      <c r="B54" s="73"/>
      <c r="C54" s="97"/>
      <c r="D54" s="16" t="s">
        <v>198</v>
      </c>
      <c r="E54" s="17" t="s">
        <v>4</v>
      </c>
      <c r="F54" s="13">
        <v>52</v>
      </c>
      <c r="G54" s="13">
        <v>11</v>
      </c>
      <c r="H54" s="13">
        <v>2</v>
      </c>
      <c r="I54" s="15">
        <v>0</v>
      </c>
      <c r="J54" s="15">
        <v>1</v>
      </c>
    </row>
    <row r="55" spans="1:15" x14ac:dyDescent="0.35">
      <c r="A55" s="73"/>
      <c r="B55" s="73"/>
      <c r="C55" s="97"/>
      <c r="D55" s="16" t="s">
        <v>198</v>
      </c>
      <c r="E55" s="17" t="s">
        <v>5</v>
      </c>
      <c r="F55" s="13">
        <v>116</v>
      </c>
      <c r="G55" s="13">
        <v>11</v>
      </c>
      <c r="H55" s="13">
        <v>5</v>
      </c>
      <c r="I55" s="13">
        <v>1</v>
      </c>
      <c r="J55" s="13">
        <v>1</v>
      </c>
    </row>
    <row r="56" spans="1:15" x14ac:dyDescent="0.35">
      <c r="A56" s="73"/>
      <c r="B56" s="73"/>
      <c r="C56" s="97"/>
      <c r="D56" s="16" t="s">
        <v>198</v>
      </c>
      <c r="E56" s="17" t="s">
        <v>6</v>
      </c>
      <c r="F56" s="13">
        <v>94</v>
      </c>
      <c r="G56" s="13">
        <v>16</v>
      </c>
      <c r="H56" s="13">
        <v>9</v>
      </c>
      <c r="I56" s="15">
        <v>0</v>
      </c>
      <c r="J56" s="15">
        <v>1</v>
      </c>
    </row>
    <row r="57" spans="1:15" x14ac:dyDescent="0.35">
      <c r="A57" s="73"/>
      <c r="B57" s="73"/>
      <c r="C57" s="97"/>
      <c r="D57" s="16" t="s">
        <v>198</v>
      </c>
      <c r="E57" s="17" t="s">
        <v>7</v>
      </c>
      <c r="F57" s="13">
        <v>63</v>
      </c>
      <c r="G57" s="13">
        <v>8</v>
      </c>
      <c r="H57" s="15">
        <v>0</v>
      </c>
      <c r="I57" s="13">
        <v>1</v>
      </c>
      <c r="J57" s="13">
        <v>0</v>
      </c>
    </row>
    <row r="58" spans="1:15" x14ac:dyDescent="0.35">
      <c r="A58" s="73"/>
      <c r="B58" s="73"/>
      <c r="C58" s="97"/>
      <c r="D58" s="16" t="s">
        <v>198</v>
      </c>
      <c r="E58" s="17" t="s">
        <v>8</v>
      </c>
      <c r="F58" s="13">
        <v>71</v>
      </c>
      <c r="G58" s="13">
        <v>7</v>
      </c>
      <c r="H58" s="13">
        <v>9</v>
      </c>
      <c r="I58" s="13">
        <v>4</v>
      </c>
      <c r="J58" s="13">
        <v>0</v>
      </c>
    </row>
    <row r="59" spans="1:15" x14ac:dyDescent="0.35">
      <c r="A59" s="73"/>
      <c r="B59" s="73"/>
      <c r="C59" s="97"/>
      <c r="D59" s="16" t="s">
        <v>198</v>
      </c>
      <c r="E59" s="17" t="s">
        <v>9</v>
      </c>
      <c r="F59" s="13">
        <v>65</v>
      </c>
      <c r="G59" s="13">
        <v>13</v>
      </c>
      <c r="H59" s="15">
        <v>0</v>
      </c>
      <c r="I59" s="15">
        <v>0</v>
      </c>
      <c r="J59" s="15">
        <v>0</v>
      </c>
      <c r="K59" s="2">
        <f>SUM(F51:F59)</f>
        <v>726</v>
      </c>
      <c r="L59" s="2">
        <f t="shared" ref="L59:O59" si="5">SUM(G51:G59)</f>
        <v>104</v>
      </c>
      <c r="M59" s="2">
        <f t="shared" si="5"/>
        <v>27</v>
      </c>
      <c r="N59" s="2">
        <f t="shared" si="5"/>
        <v>12</v>
      </c>
      <c r="O59" s="2">
        <f t="shared" si="5"/>
        <v>4</v>
      </c>
    </row>
    <row r="60" spans="1:15" x14ac:dyDescent="0.35">
      <c r="A60" s="71" t="s">
        <v>663</v>
      </c>
      <c r="B60" s="71" t="s">
        <v>664</v>
      </c>
      <c r="C60" s="125">
        <v>2614</v>
      </c>
      <c r="D60" s="16" t="s">
        <v>199</v>
      </c>
      <c r="E60" s="17" t="s">
        <v>5</v>
      </c>
      <c r="F60" s="25">
        <v>40</v>
      </c>
      <c r="G60" s="25">
        <v>12</v>
      </c>
      <c r="H60" s="25">
        <v>1</v>
      </c>
      <c r="I60" s="27">
        <v>0</v>
      </c>
      <c r="J60" s="25">
        <v>1</v>
      </c>
    </row>
    <row r="61" spans="1:15" x14ac:dyDescent="0.35">
      <c r="A61" s="72"/>
      <c r="B61" s="72"/>
      <c r="C61" s="102"/>
      <c r="D61" s="16" t="s">
        <v>199</v>
      </c>
      <c r="E61" s="17" t="s">
        <v>6</v>
      </c>
      <c r="F61" s="25">
        <v>88</v>
      </c>
      <c r="G61" s="25">
        <v>19</v>
      </c>
      <c r="H61" s="25">
        <v>1</v>
      </c>
      <c r="I61" s="25">
        <v>3</v>
      </c>
      <c r="J61" s="25">
        <v>0</v>
      </c>
    </row>
    <row r="62" spans="1:15" x14ac:dyDescent="0.35">
      <c r="A62" s="72"/>
      <c r="B62" s="72"/>
      <c r="C62" s="102"/>
      <c r="D62" s="16" t="s">
        <v>199</v>
      </c>
      <c r="E62" s="17" t="s">
        <v>7</v>
      </c>
      <c r="F62" s="25">
        <v>41</v>
      </c>
      <c r="G62" s="25">
        <v>10</v>
      </c>
      <c r="H62" s="27">
        <v>0</v>
      </c>
      <c r="I62" s="25">
        <v>4</v>
      </c>
      <c r="J62" s="25">
        <v>0</v>
      </c>
    </row>
    <row r="63" spans="1:15" x14ac:dyDescent="0.35">
      <c r="A63" s="72"/>
      <c r="B63" s="72"/>
      <c r="C63" s="102"/>
      <c r="D63" s="16" t="s">
        <v>199</v>
      </c>
      <c r="E63" s="17" t="s">
        <v>8</v>
      </c>
      <c r="F63" s="25">
        <v>51</v>
      </c>
      <c r="G63" s="25">
        <v>21</v>
      </c>
      <c r="H63" s="25">
        <v>9</v>
      </c>
      <c r="I63" s="25">
        <v>3</v>
      </c>
      <c r="J63" s="25">
        <v>1</v>
      </c>
    </row>
    <row r="64" spans="1:15" x14ac:dyDescent="0.35">
      <c r="A64" s="72"/>
      <c r="B64" s="72"/>
      <c r="C64" s="102"/>
      <c r="D64" s="16" t="s">
        <v>199</v>
      </c>
      <c r="E64" s="17" t="s">
        <v>11</v>
      </c>
      <c r="F64" s="25">
        <v>64</v>
      </c>
      <c r="G64" s="25">
        <v>23</v>
      </c>
      <c r="H64" s="25">
        <v>11</v>
      </c>
      <c r="I64" s="25">
        <v>4</v>
      </c>
      <c r="J64" s="25">
        <v>0</v>
      </c>
    </row>
    <row r="65" spans="1:15" x14ac:dyDescent="0.35">
      <c r="A65" s="72"/>
      <c r="B65" s="72"/>
      <c r="C65" s="102"/>
      <c r="D65" s="16" t="s">
        <v>199</v>
      </c>
      <c r="E65" s="17" t="s">
        <v>12</v>
      </c>
      <c r="F65" s="25">
        <v>117</v>
      </c>
      <c r="G65" s="25">
        <v>16</v>
      </c>
      <c r="H65" s="25">
        <v>2</v>
      </c>
      <c r="I65" s="25">
        <v>8</v>
      </c>
      <c r="J65" s="25">
        <v>0</v>
      </c>
    </row>
    <row r="66" spans="1:15" x14ac:dyDescent="0.35">
      <c r="A66" s="72"/>
      <c r="B66" s="72"/>
      <c r="C66" s="102"/>
      <c r="D66" s="16" t="s">
        <v>199</v>
      </c>
      <c r="E66" s="17" t="s">
        <v>15</v>
      </c>
      <c r="F66" s="25">
        <v>1</v>
      </c>
      <c r="G66" s="27">
        <v>0</v>
      </c>
      <c r="H66" s="27">
        <v>0</v>
      </c>
      <c r="I66" s="27">
        <v>0</v>
      </c>
      <c r="J66" s="25">
        <v>0</v>
      </c>
    </row>
    <row r="67" spans="1:15" x14ac:dyDescent="0.35">
      <c r="A67" s="6" t="s">
        <v>621</v>
      </c>
      <c r="B67" s="6" t="s">
        <v>622</v>
      </c>
      <c r="C67" s="132">
        <v>1986</v>
      </c>
      <c r="D67" s="16" t="s">
        <v>171</v>
      </c>
      <c r="E67" s="17" t="s">
        <v>17</v>
      </c>
      <c r="F67" s="13">
        <v>106</v>
      </c>
      <c r="G67" s="13">
        <v>13</v>
      </c>
      <c r="H67" s="15">
        <v>0</v>
      </c>
      <c r="I67" s="13">
        <v>1</v>
      </c>
      <c r="J67" s="15">
        <v>1</v>
      </c>
    </row>
    <row r="68" spans="1:15" x14ac:dyDescent="0.35">
      <c r="A68" s="73"/>
      <c r="B68" s="73"/>
      <c r="C68" s="97"/>
      <c r="D68" s="16" t="s">
        <v>171</v>
      </c>
      <c r="E68" s="17" t="s">
        <v>2</v>
      </c>
      <c r="F68" s="13">
        <v>233</v>
      </c>
      <c r="G68" s="13">
        <v>31</v>
      </c>
      <c r="H68" s="13">
        <v>4</v>
      </c>
      <c r="I68" s="13">
        <v>5</v>
      </c>
      <c r="J68" s="15">
        <v>2</v>
      </c>
    </row>
    <row r="69" spans="1:15" x14ac:dyDescent="0.35">
      <c r="A69" s="73"/>
      <c r="B69" s="73"/>
      <c r="C69" s="97"/>
      <c r="D69" s="16" t="s">
        <v>171</v>
      </c>
      <c r="E69" s="17" t="s">
        <v>3</v>
      </c>
      <c r="F69" s="13">
        <v>264</v>
      </c>
      <c r="G69" s="13">
        <v>28</v>
      </c>
      <c r="H69" s="13">
        <v>2</v>
      </c>
      <c r="I69" s="13">
        <v>8</v>
      </c>
      <c r="J69" s="15">
        <v>1</v>
      </c>
    </row>
    <row r="70" spans="1:15" x14ac:dyDescent="0.35">
      <c r="A70" s="73"/>
      <c r="B70" s="73"/>
      <c r="C70" s="97"/>
      <c r="D70" s="16" t="s">
        <v>171</v>
      </c>
      <c r="E70" s="17" t="s">
        <v>4</v>
      </c>
      <c r="F70" s="13">
        <v>107</v>
      </c>
      <c r="G70" s="13">
        <v>15</v>
      </c>
      <c r="H70" s="13">
        <v>3</v>
      </c>
      <c r="I70" s="13">
        <v>2</v>
      </c>
      <c r="J70" s="15">
        <v>1</v>
      </c>
    </row>
    <row r="71" spans="1:15" x14ac:dyDescent="0.35">
      <c r="A71" s="73"/>
      <c r="B71" s="73"/>
      <c r="C71" s="97"/>
      <c r="D71" s="16" t="s">
        <v>171</v>
      </c>
      <c r="E71" s="17" t="s">
        <v>5</v>
      </c>
      <c r="F71" s="13">
        <v>46</v>
      </c>
      <c r="G71" s="13">
        <v>8</v>
      </c>
      <c r="H71" s="15">
        <v>0</v>
      </c>
      <c r="I71" s="13">
        <v>1</v>
      </c>
      <c r="J71" s="15">
        <v>0</v>
      </c>
    </row>
    <row r="72" spans="1:15" x14ac:dyDescent="0.35">
      <c r="A72" s="73"/>
      <c r="B72" s="73"/>
      <c r="C72" s="97"/>
      <c r="D72" s="16" t="s">
        <v>171</v>
      </c>
      <c r="E72" s="17" t="s">
        <v>6</v>
      </c>
      <c r="F72" s="13">
        <v>99</v>
      </c>
      <c r="G72" s="13">
        <v>14</v>
      </c>
      <c r="H72" s="13">
        <v>3</v>
      </c>
      <c r="I72" s="13">
        <v>1</v>
      </c>
      <c r="J72" s="15">
        <v>0</v>
      </c>
      <c r="K72" s="2">
        <f>SUM(F67:F72)</f>
        <v>855</v>
      </c>
      <c r="L72" s="2">
        <f t="shared" ref="L72:O72" si="6">SUM(G67:G72)</f>
        <v>109</v>
      </c>
      <c r="M72" s="2">
        <f t="shared" si="6"/>
        <v>12</v>
      </c>
      <c r="N72" s="2">
        <f t="shared" si="6"/>
        <v>18</v>
      </c>
      <c r="O72" s="2">
        <f t="shared" si="6"/>
        <v>5</v>
      </c>
    </row>
    <row r="73" spans="1:15" x14ac:dyDescent="0.35">
      <c r="A73" s="3" t="s">
        <v>655</v>
      </c>
      <c r="B73" s="3" t="s">
        <v>656</v>
      </c>
      <c r="C73" s="131">
        <v>1654</v>
      </c>
      <c r="D73" s="16" t="s">
        <v>200</v>
      </c>
      <c r="E73" s="17" t="s">
        <v>17</v>
      </c>
      <c r="F73" s="12">
        <v>194</v>
      </c>
      <c r="G73" s="12">
        <v>28</v>
      </c>
      <c r="H73" s="12">
        <v>3</v>
      </c>
      <c r="I73" s="12">
        <v>5</v>
      </c>
      <c r="J73" s="14">
        <v>0</v>
      </c>
    </row>
    <row r="74" spans="1:15" x14ac:dyDescent="0.35">
      <c r="A74" s="79"/>
      <c r="B74" s="79"/>
      <c r="C74" s="99"/>
      <c r="D74" s="16" t="s">
        <v>200</v>
      </c>
      <c r="E74" s="17" t="s">
        <v>2</v>
      </c>
      <c r="F74" s="12">
        <v>38</v>
      </c>
      <c r="G74" s="12">
        <v>10</v>
      </c>
      <c r="H74" s="12">
        <v>2</v>
      </c>
      <c r="I74" s="14">
        <v>0</v>
      </c>
      <c r="J74" s="14">
        <v>0</v>
      </c>
    </row>
    <row r="75" spans="1:15" x14ac:dyDescent="0.35">
      <c r="A75" s="79"/>
      <c r="B75" s="79"/>
      <c r="C75" s="99"/>
      <c r="D75" s="16" t="s">
        <v>200</v>
      </c>
      <c r="E75" s="17" t="s">
        <v>3</v>
      </c>
      <c r="F75" s="12">
        <v>53</v>
      </c>
      <c r="G75" s="12">
        <v>20</v>
      </c>
      <c r="H75" s="12">
        <v>4</v>
      </c>
      <c r="I75" s="12">
        <v>3</v>
      </c>
      <c r="J75" s="14">
        <v>0</v>
      </c>
    </row>
    <row r="76" spans="1:15" x14ac:dyDescent="0.35">
      <c r="A76" s="79"/>
      <c r="B76" s="79"/>
      <c r="C76" s="99"/>
      <c r="D76" s="16" t="s">
        <v>200</v>
      </c>
      <c r="E76" s="17" t="s">
        <v>4</v>
      </c>
      <c r="F76" s="12">
        <v>180</v>
      </c>
      <c r="G76" s="12">
        <v>23</v>
      </c>
      <c r="H76" s="12">
        <v>6</v>
      </c>
      <c r="I76" s="12">
        <v>6</v>
      </c>
      <c r="J76" s="14">
        <v>1</v>
      </c>
    </row>
    <row r="77" spans="1:15" x14ac:dyDescent="0.35">
      <c r="A77" s="79"/>
      <c r="B77" s="79"/>
      <c r="C77" s="99"/>
      <c r="D77" s="16" t="s">
        <v>200</v>
      </c>
      <c r="E77" s="17" t="s">
        <v>5</v>
      </c>
      <c r="F77" s="12">
        <v>82</v>
      </c>
      <c r="G77" s="12">
        <v>30</v>
      </c>
      <c r="H77" s="12">
        <v>4</v>
      </c>
      <c r="I77" s="12">
        <v>3</v>
      </c>
      <c r="J77" s="14">
        <v>3</v>
      </c>
    </row>
    <row r="78" spans="1:15" x14ac:dyDescent="0.35">
      <c r="A78" s="79"/>
      <c r="B78" s="79"/>
      <c r="C78" s="99"/>
      <c r="D78" s="16" t="s">
        <v>200</v>
      </c>
      <c r="E78" s="17" t="s">
        <v>6</v>
      </c>
      <c r="F78" s="12">
        <v>108</v>
      </c>
      <c r="G78" s="12">
        <v>27</v>
      </c>
      <c r="H78" s="12">
        <v>2</v>
      </c>
      <c r="I78" s="12">
        <v>0</v>
      </c>
      <c r="J78" s="14">
        <v>0</v>
      </c>
    </row>
    <row r="79" spans="1:15" x14ac:dyDescent="0.35">
      <c r="A79" s="79"/>
      <c r="B79" s="79"/>
      <c r="C79" s="99"/>
      <c r="D79" s="16" t="s">
        <v>200</v>
      </c>
      <c r="E79" s="17" t="s">
        <v>7</v>
      </c>
      <c r="F79" s="12">
        <v>83</v>
      </c>
      <c r="G79" s="12">
        <v>9</v>
      </c>
      <c r="H79" s="14">
        <v>1</v>
      </c>
      <c r="I79" s="12">
        <v>2</v>
      </c>
      <c r="J79" s="14">
        <v>0</v>
      </c>
      <c r="K79" s="2">
        <f>SUM(F73:F79)</f>
        <v>738</v>
      </c>
      <c r="L79" s="2">
        <f t="shared" ref="L79:O79" si="7">SUM(G73:G79)</f>
        <v>147</v>
      </c>
      <c r="M79" s="2">
        <f t="shared" si="7"/>
        <v>22</v>
      </c>
      <c r="N79" s="2">
        <f t="shared" si="7"/>
        <v>19</v>
      </c>
      <c r="O79" s="2">
        <f t="shared" si="7"/>
        <v>4</v>
      </c>
    </row>
    <row r="80" spans="1:15" x14ac:dyDescent="0.35">
      <c r="A80" s="6" t="s">
        <v>623</v>
      </c>
      <c r="B80" s="6" t="s">
        <v>624</v>
      </c>
      <c r="C80" s="132">
        <v>2202</v>
      </c>
      <c r="D80" s="16" t="s">
        <v>201</v>
      </c>
      <c r="E80" s="17" t="s">
        <v>17</v>
      </c>
      <c r="F80" s="13">
        <v>76</v>
      </c>
      <c r="G80" s="13">
        <v>14</v>
      </c>
      <c r="H80" s="13">
        <v>2</v>
      </c>
      <c r="I80" s="13">
        <v>5</v>
      </c>
      <c r="J80" s="15">
        <v>0</v>
      </c>
    </row>
    <row r="81" spans="1:15" x14ac:dyDescent="0.35">
      <c r="A81" s="73"/>
      <c r="B81" s="73"/>
      <c r="C81" s="97"/>
      <c r="D81" s="16" t="s">
        <v>201</v>
      </c>
      <c r="E81" s="17" t="s">
        <v>2</v>
      </c>
      <c r="F81" s="13">
        <v>292</v>
      </c>
      <c r="G81" s="13">
        <v>31</v>
      </c>
      <c r="H81" s="13">
        <v>2</v>
      </c>
      <c r="I81" s="13">
        <v>4</v>
      </c>
      <c r="J81" s="15">
        <v>0</v>
      </c>
    </row>
    <row r="82" spans="1:15" x14ac:dyDescent="0.35">
      <c r="A82" s="73"/>
      <c r="B82" s="73"/>
      <c r="C82" s="97"/>
      <c r="D82" s="16" t="s">
        <v>201</v>
      </c>
      <c r="E82" s="17" t="s">
        <v>3</v>
      </c>
      <c r="F82" s="13">
        <v>240</v>
      </c>
      <c r="G82" s="13">
        <v>43</v>
      </c>
      <c r="H82" s="13">
        <v>11</v>
      </c>
      <c r="I82" s="13">
        <v>5</v>
      </c>
      <c r="J82" s="15">
        <v>1</v>
      </c>
    </row>
    <row r="83" spans="1:15" x14ac:dyDescent="0.35">
      <c r="A83" s="73"/>
      <c r="B83" s="73"/>
      <c r="C83" s="97"/>
      <c r="D83" s="16" t="s">
        <v>201</v>
      </c>
      <c r="E83" s="17" t="s">
        <v>4</v>
      </c>
      <c r="F83" s="13">
        <v>114</v>
      </c>
      <c r="G83" s="13">
        <v>16</v>
      </c>
      <c r="H83" s="13">
        <v>4</v>
      </c>
      <c r="I83" s="13">
        <v>2</v>
      </c>
      <c r="J83" s="15">
        <v>0</v>
      </c>
    </row>
    <row r="84" spans="1:15" x14ac:dyDescent="0.35">
      <c r="A84" s="73"/>
      <c r="B84" s="73"/>
      <c r="C84" s="97"/>
      <c r="D84" s="16" t="s">
        <v>201</v>
      </c>
      <c r="E84" s="17" t="s">
        <v>5</v>
      </c>
      <c r="F84" s="13">
        <v>118</v>
      </c>
      <c r="G84" s="13">
        <v>14</v>
      </c>
      <c r="H84" s="13">
        <v>7</v>
      </c>
      <c r="I84" s="13">
        <v>4</v>
      </c>
      <c r="J84" s="15">
        <v>0</v>
      </c>
    </row>
    <row r="85" spans="1:15" x14ac:dyDescent="0.35">
      <c r="A85" s="73"/>
      <c r="B85" s="73"/>
      <c r="C85" s="97"/>
      <c r="D85" s="16" t="s">
        <v>201</v>
      </c>
      <c r="E85" s="17" t="s">
        <v>6</v>
      </c>
      <c r="F85" s="13">
        <v>57</v>
      </c>
      <c r="G85" s="13">
        <v>9</v>
      </c>
      <c r="H85" s="13">
        <v>4</v>
      </c>
      <c r="I85" s="13">
        <v>3</v>
      </c>
      <c r="J85" s="15">
        <v>0</v>
      </c>
    </row>
    <row r="86" spans="1:15" x14ac:dyDescent="0.35">
      <c r="A86" s="73"/>
      <c r="B86" s="73"/>
      <c r="C86" s="97"/>
      <c r="D86" s="16" t="s">
        <v>201</v>
      </c>
      <c r="E86" s="17" t="s">
        <v>7</v>
      </c>
      <c r="F86" s="13">
        <v>119</v>
      </c>
      <c r="G86" s="13">
        <v>11</v>
      </c>
      <c r="H86" s="13">
        <v>1</v>
      </c>
      <c r="I86" s="13">
        <v>5</v>
      </c>
      <c r="J86" s="15">
        <v>0</v>
      </c>
    </row>
    <row r="87" spans="1:15" x14ac:dyDescent="0.35">
      <c r="A87" s="73"/>
      <c r="B87" s="73"/>
      <c r="C87" s="97"/>
      <c r="D87" s="16" t="s">
        <v>201</v>
      </c>
      <c r="E87" s="17" t="s">
        <v>8</v>
      </c>
      <c r="F87" s="13">
        <v>99</v>
      </c>
      <c r="G87" s="13">
        <v>7</v>
      </c>
      <c r="H87" s="13">
        <v>1</v>
      </c>
      <c r="I87" s="13">
        <v>4</v>
      </c>
      <c r="J87" s="15">
        <v>0</v>
      </c>
      <c r="K87" s="2">
        <f>SUM(F80:F87)</f>
        <v>1115</v>
      </c>
      <c r="L87" s="2">
        <f t="shared" ref="L87:O87" si="8">SUM(G80:G87)</f>
        <v>145</v>
      </c>
      <c r="M87" s="2">
        <f t="shared" si="8"/>
        <v>32</v>
      </c>
      <c r="N87" s="2">
        <f t="shared" si="8"/>
        <v>32</v>
      </c>
      <c r="O87" s="2">
        <f t="shared" si="8"/>
        <v>1</v>
      </c>
    </row>
    <row r="88" spans="1:15" x14ac:dyDescent="0.35">
      <c r="A88" s="3" t="s">
        <v>673</v>
      </c>
      <c r="B88" s="3" t="s">
        <v>674</v>
      </c>
      <c r="C88" s="131">
        <v>3020</v>
      </c>
      <c r="D88" s="16" t="s">
        <v>202</v>
      </c>
      <c r="E88" s="17" t="s">
        <v>17</v>
      </c>
      <c r="F88" s="12">
        <v>524</v>
      </c>
      <c r="G88" s="12">
        <v>293</v>
      </c>
      <c r="H88" s="12">
        <v>25</v>
      </c>
      <c r="I88" s="12">
        <v>36</v>
      </c>
      <c r="J88" s="14">
        <v>3</v>
      </c>
    </row>
    <row r="89" spans="1:15" x14ac:dyDescent="0.35">
      <c r="A89" s="3"/>
      <c r="B89" s="3"/>
      <c r="C89" s="131"/>
      <c r="D89" s="16" t="s">
        <v>202</v>
      </c>
      <c r="E89" s="17" t="s">
        <v>2</v>
      </c>
      <c r="F89" s="12">
        <v>73</v>
      </c>
      <c r="G89" s="12">
        <v>54</v>
      </c>
      <c r="H89" s="12">
        <v>4</v>
      </c>
      <c r="I89" s="12">
        <v>9</v>
      </c>
      <c r="J89" s="14">
        <v>1</v>
      </c>
    </row>
    <row r="90" spans="1:15" x14ac:dyDescent="0.35">
      <c r="A90" s="79"/>
      <c r="B90" s="79"/>
      <c r="C90" s="99"/>
      <c r="D90" s="16" t="s">
        <v>202</v>
      </c>
      <c r="E90" s="17" t="s">
        <v>3</v>
      </c>
      <c r="F90" s="12">
        <v>38</v>
      </c>
      <c r="G90" s="12">
        <v>45</v>
      </c>
      <c r="H90" s="12">
        <v>1</v>
      </c>
      <c r="I90" s="12">
        <v>3</v>
      </c>
      <c r="J90" s="14">
        <v>0</v>
      </c>
    </row>
    <row r="91" spans="1:15" x14ac:dyDescent="0.35">
      <c r="A91" s="79"/>
      <c r="B91" s="79"/>
      <c r="C91" s="99"/>
      <c r="D91" s="16" t="s">
        <v>202</v>
      </c>
      <c r="E91" s="17" t="s">
        <v>4</v>
      </c>
      <c r="F91" s="12">
        <v>111</v>
      </c>
      <c r="G91" s="12">
        <v>39</v>
      </c>
      <c r="H91" s="12">
        <v>6</v>
      </c>
      <c r="I91" s="12">
        <v>2</v>
      </c>
      <c r="J91" s="14">
        <v>0</v>
      </c>
    </row>
    <row r="92" spans="1:15" x14ac:dyDescent="0.35">
      <c r="A92" s="79"/>
      <c r="B92" s="79"/>
      <c r="C92" s="99"/>
      <c r="D92" s="16" t="s">
        <v>202</v>
      </c>
      <c r="E92" s="17" t="s">
        <v>5</v>
      </c>
      <c r="F92" s="12">
        <v>91</v>
      </c>
      <c r="G92" s="12">
        <v>32</v>
      </c>
      <c r="H92" s="12">
        <v>1</v>
      </c>
      <c r="I92" s="12">
        <v>4</v>
      </c>
      <c r="J92" s="14">
        <v>0</v>
      </c>
    </row>
    <row r="93" spans="1:15" x14ac:dyDescent="0.35">
      <c r="A93" s="79"/>
      <c r="B93" s="79"/>
      <c r="C93" s="99"/>
      <c r="D93" s="16" t="s">
        <v>202</v>
      </c>
      <c r="E93" s="17" t="s">
        <v>6</v>
      </c>
      <c r="F93" s="12">
        <v>88</v>
      </c>
      <c r="G93" s="12">
        <v>42</v>
      </c>
      <c r="H93" s="12">
        <v>7</v>
      </c>
      <c r="I93" s="12">
        <v>4</v>
      </c>
      <c r="J93" s="14">
        <v>0</v>
      </c>
    </row>
    <row r="94" spans="1:15" x14ac:dyDescent="0.35">
      <c r="A94" s="79"/>
      <c r="B94" s="79"/>
      <c r="C94" s="99"/>
      <c r="D94" s="16" t="s">
        <v>202</v>
      </c>
      <c r="E94" s="17" t="s">
        <v>7</v>
      </c>
      <c r="F94" s="12">
        <v>57</v>
      </c>
      <c r="G94" s="12">
        <v>67</v>
      </c>
      <c r="H94" s="12">
        <v>1</v>
      </c>
      <c r="I94" s="12">
        <v>3</v>
      </c>
      <c r="J94" s="14">
        <v>1</v>
      </c>
    </row>
    <row r="95" spans="1:15" x14ac:dyDescent="0.35">
      <c r="A95" s="79"/>
      <c r="B95" s="79"/>
      <c r="C95" s="99"/>
      <c r="D95" s="16" t="s">
        <v>202</v>
      </c>
      <c r="E95" s="17" t="s">
        <v>8</v>
      </c>
      <c r="F95" s="12">
        <v>71</v>
      </c>
      <c r="G95" s="12">
        <v>32</v>
      </c>
      <c r="H95" s="12">
        <v>5</v>
      </c>
      <c r="I95" s="12">
        <v>11</v>
      </c>
      <c r="J95" s="14">
        <v>0</v>
      </c>
    </row>
    <row r="96" spans="1:15" x14ac:dyDescent="0.35">
      <c r="A96" s="79"/>
      <c r="B96" s="79"/>
      <c r="C96" s="99"/>
      <c r="D96" s="16" t="s">
        <v>202</v>
      </c>
      <c r="E96" s="17" t="s">
        <v>9</v>
      </c>
      <c r="F96" s="12">
        <v>41</v>
      </c>
      <c r="G96" s="12">
        <v>18</v>
      </c>
      <c r="H96" s="12">
        <v>4</v>
      </c>
      <c r="I96" s="12">
        <v>1</v>
      </c>
      <c r="J96" s="14">
        <v>0</v>
      </c>
    </row>
    <row r="97" spans="1:15" x14ac:dyDescent="0.35">
      <c r="A97" s="79"/>
      <c r="B97" s="79"/>
      <c r="C97" s="99"/>
      <c r="D97" s="16" t="s">
        <v>202</v>
      </c>
      <c r="E97" s="17" t="s">
        <v>11</v>
      </c>
      <c r="F97" s="12">
        <v>48</v>
      </c>
      <c r="G97" s="12">
        <v>21</v>
      </c>
      <c r="H97" s="14">
        <v>0</v>
      </c>
      <c r="I97" s="12">
        <v>3</v>
      </c>
      <c r="J97" s="14">
        <v>0</v>
      </c>
    </row>
    <row r="98" spans="1:15" x14ac:dyDescent="0.35">
      <c r="A98" s="79"/>
      <c r="B98" s="79"/>
      <c r="C98" s="99"/>
      <c r="D98" s="16" t="s">
        <v>202</v>
      </c>
      <c r="E98" s="17" t="s">
        <v>12</v>
      </c>
      <c r="F98" s="12">
        <v>64</v>
      </c>
      <c r="G98" s="12">
        <v>10</v>
      </c>
      <c r="H98" s="12">
        <v>4</v>
      </c>
      <c r="I98" s="12">
        <v>1</v>
      </c>
      <c r="J98" s="14">
        <v>0</v>
      </c>
    </row>
    <row r="99" spans="1:15" x14ac:dyDescent="0.35">
      <c r="A99" s="79"/>
      <c r="B99" s="79"/>
      <c r="C99" s="99"/>
      <c r="D99" s="16" t="s">
        <v>202</v>
      </c>
      <c r="E99" s="17" t="s">
        <v>13</v>
      </c>
      <c r="F99" s="12">
        <v>96</v>
      </c>
      <c r="G99" s="12">
        <v>39</v>
      </c>
      <c r="H99" s="12">
        <v>6</v>
      </c>
      <c r="I99" s="12">
        <v>5</v>
      </c>
      <c r="J99" s="14">
        <v>3</v>
      </c>
      <c r="K99" s="2">
        <f>SUM(F88:F99)</f>
        <v>1302</v>
      </c>
      <c r="L99" s="2">
        <f t="shared" ref="L99:O99" si="9">SUM(G88:G99)</f>
        <v>692</v>
      </c>
      <c r="M99" s="2">
        <f t="shared" si="9"/>
        <v>64</v>
      </c>
      <c r="N99" s="2">
        <f t="shared" si="9"/>
        <v>82</v>
      </c>
      <c r="O99" s="2">
        <f t="shared" si="9"/>
        <v>8</v>
      </c>
    </row>
    <row r="100" spans="1:15" x14ac:dyDescent="0.35">
      <c r="A100" s="6" t="s">
        <v>483</v>
      </c>
      <c r="B100" s="6" t="s">
        <v>484</v>
      </c>
      <c r="C100" s="132">
        <v>1402</v>
      </c>
      <c r="D100" s="16" t="s">
        <v>203</v>
      </c>
      <c r="E100" s="17" t="s">
        <v>17</v>
      </c>
      <c r="F100" s="13">
        <v>61</v>
      </c>
      <c r="G100" s="13">
        <v>10</v>
      </c>
      <c r="H100" s="15">
        <v>0</v>
      </c>
      <c r="I100" s="13">
        <v>2</v>
      </c>
      <c r="J100" s="15">
        <v>1</v>
      </c>
    </row>
    <row r="101" spans="1:15" x14ac:dyDescent="0.35">
      <c r="A101" s="73"/>
      <c r="B101" s="73"/>
      <c r="C101" s="97"/>
      <c r="D101" s="16" t="s">
        <v>203</v>
      </c>
      <c r="E101" s="17" t="s">
        <v>2</v>
      </c>
      <c r="F101" s="13">
        <v>69</v>
      </c>
      <c r="G101" s="13">
        <v>37</v>
      </c>
      <c r="H101" s="13">
        <v>4</v>
      </c>
      <c r="I101" s="13">
        <v>3</v>
      </c>
      <c r="J101" s="15">
        <v>0</v>
      </c>
    </row>
    <row r="102" spans="1:15" x14ac:dyDescent="0.35">
      <c r="A102" s="73"/>
      <c r="B102" s="73"/>
      <c r="C102" s="97"/>
      <c r="D102" s="16" t="s">
        <v>203</v>
      </c>
      <c r="E102" s="17" t="s">
        <v>3</v>
      </c>
      <c r="F102" s="13">
        <v>109</v>
      </c>
      <c r="G102" s="13">
        <v>44</v>
      </c>
      <c r="H102" s="15">
        <v>0</v>
      </c>
      <c r="I102" s="13">
        <v>5</v>
      </c>
      <c r="J102" s="15">
        <v>2</v>
      </c>
    </row>
    <row r="103" spans="1:15" x14ac:dyDescent="0.35">
      <c r="A103" s="73"/>
      <c r="B103" s="73"/>
      <c r="C103" s="97"/>
      <c r="D103" s="16" t="s">
        <v>203</v>
      </c>
      <c r="E103" s="17" t="s">
        <v>4</v>
      </c>
      <c r="F103" s="13">
        <v>35</v>
      </c>
      <c r="G103" s="13">
        <v>16</v>
      </c>
      <c r="H103" s="15">
        <v>0</v>
      </c>
      <c r="I103" s="13">
        <v>3</v>
      </c>
      <c r="J103" s="15">
        <v>0</v>
      </c>
    </row>
    <row r="104" spans="1:15" x14ac:dyDescent="0.35">
      <c r="A104" s="73"/>
      <c r="B104" s="73"/>
      <c r="C104" s="97"/>
      <c r="D104" s="16" t="s">
        <v>203</v>
      </c>
      <c r="E104" s="17" t="s">
        <v>5</v>
      </c>
      <c r="F104" s="13">
        <v>55</v>
      </c>
      <c r="G104" s="13">
        <v>44</v>
      </c>
      <c r="H104" s="13">
        <v>8</v>
      </c>
      <c r="I104" s="13">
        <v>3</v>
      </c>
      <c r="J104" s="15">
        <v>0</v>
      </c>
    </row>
    <row r="105" spans="1:15" x14ac:dyDescent="0.35">
      <c r="A105" s="73"/>
      <c r="B105" s="73"/>
      <c r="C105" s="97"/>
      <c r="D105" s="16" t="s">
        <v>203</v>
      </c>
      <c r="E105" s="17" t="s">
        <v>6</v>
      </c>
      <c r="F105" s="13">
        <v>109</v>
      </c>
      <c r="G105" s="13">
        <v>14</v>
      </c>
      <c r="H105" s="13">
        <v>5</v>
      </c>
      <c r="I105" s="13">
        <v>6</v>
      </c>
      <c r="J105" s="15">
        <v>0</v>
      </c>
    </row>
    <row r="106" spans="1:15" x14ac:dyDescent="0.35">
      <c r="A106" s="73"/>
      <c r="B106" s="73"/>
      <c r="C106" s="97"/>
      <c r="D106" s="16" t="s">
        <v>203</v>
      </c>
      <c r="E106" s="17" t="s">
        <v>7</v>
      </c>
      <c r="F106" s="13">
        <v>77</v>
      </c>
      <c r="G106" s="13">
        <v>26</v>
      </c>
      <c r="H106" s="13">
        <v>1</v>
      </c>
      <c r="I106" s="13">
        <v>2</v>
      </c>
      <c r="J106" s="15">
        <v>0</v>
      </c>
    </row>
    <row r="107" spans="1:15" x14ac:dyDescent="0.35">
      <c r="A107" s="73"/>
      <c r="B107" s="73"/>
      <c r="C107" s="97"/>
      <c r="D107" s="16" t="s">
        <v>203</v>
      </c>
      <c r="E107" s="17" t="s">
        <v>8</v>
      </c>
      <c r="F107" s="13">
        <v>41</v>
      </c>
      <c r="G107" s="13">
        <v>11</v>
      </c>
      <c r="H107" s="13">
        <v>4</v>
      </c>
      <c r="I107" s="13">
        <v>2</v>
      </c>
      <c r="J107" s="15">
        <v>0</v>
      </c>
    </row>
    <row r="108" spans="1:15" x14ac:dyDescent="0.35">
      <c r="A108" s="73"/>
      <c r="B108" s="73"/>
      <c r="C108" s="97"/>
      <c r="D108" s="16" t="s">
        <v>203</v>
      </c>
      <c r="E108" s="17" t="s">
        <v>9</v>
      </c>
      <c r="F108" s="13">
        <v>54</v>
      </c>
      <c r="G108" s="13">
        <v>6</v>
      </c>
      <c r="H108" s="13">
        <v>3</v>
      </c>
      <c r="I108" s="15">
        <v>0</v>
      </c>
      <c r="J108" s="15">
        <v>1</v>
      </c>
      <c r="K108" s="2">
        <f>SUM(F100:F108)</f>
        <v>610</v>
      </c>
      <c r="L108" s="2">
        <f t="shared" ref="L108:O108" si="10">SUM(G100:G108)</f>
        <v>208</v>
      </c>
      <c r="M108" s="2">
        <f t="shared" si="10"/>
        <v>25</v>
      </c>
      <c r="N108" s="2">
        <f t="shared" si="10"/>
        <v>26</v>
      </c>
      <c r="O108" s="2">
        <f t="shared" si="10"/>
        <v>4</v>
      </c>
    </row>
    <row r="109" spans="1:15" x14ac:dyDescent="0.35">
      <c r="A109" s="3" t="s">
        <v>485</v>
      </c>
      <c r="B109" s="3" t="s">
        <v>486</v>
      </c>
      <c r="C109" s="131">
        <v>1254</v>
      </c>
      <c r="D109" s="16" t="s">
        <v>203</v>
      </c>
      <c r="E109" s="17" t="s">
        <v>11</v>
      </c>
      <c r="F109" s="12">
        <v>162</v>
      </c>
      <c r="G109" s="12">
        <v>75</v>
      </c>
      <c r="H109" s="12">
        <v>2</v>
      </c>
      <c r="I109" s="12">
        <v>6</v>
      </c>
      <c r="J109" s="14">
        <v>2</v>
      </c>
    </row>
    <row r="110" spans="1:15" x14ac:dyDescent="0.35">
      <c r="A110" s="79"/>
      <c r="B110" s="79"/>
      <c r="C110" s="99"/>
      <c r="D110" s="16" t="s">
        <v>203</v>
      </c>
      <c r="E110" s="17" t="s">
        <v>12</v>
      </c>
      <c r="F110" s="12">
        <v>101</v>
      </c>
      <c r="G110" s="12">
        <v>19</v>
      </c>
      <c r="H110" s="14">
        <v>0</v>
      </c>
      <c r="I110" s="12">
        <v>1</v>
      </c>
      <c r="J110" s="14">
        <v>2</v>
      </c>
    </row>
    <row r="111" spans="1:15" x14ac:dyDescent="0.35">
      <c r="A111" s="79"/>
      <c r="B111" s="79"/>
      <c r="C111" s="99"/>
      <c r="D111" s="16" t="s">
        <v>203</v>
      </c>
      <c r="E111" s="17" t="s">
        <v>13</v>
      </c>
      <c r="F111" s="12">
        <v>165</v>
      </c>
      <c r="G111" s="12">
        <v>45</v>
      </c>
      <c r="H111" s="12">
        <v>2</v>
      </c>
      <c r="I111" s="12">
        <v>11</v>
      </c>
      <c r="J111" s="14">
        <v>1</v>
      </c>
    </row>
    <row r="112" spans="1:15" x14ac:dyDescent="0.35">
      <c r="A112" s="79"/>
      <c r="B112" s="79"/>
      <c r="C112" s="99"/>
      <c r="D112" s="16" t="s">
        <v>203</v>
      </c>
      <c r="E112" s="17" t="s">
        <v>21</v>
      </c>
      <c r="F112" s="12">
        <v>34</v>
      </c>
      <c r="G112" s="12">
        <v>8</v>
      </c>
      <c r="H112" s="12">
        <v>4</v>
      </c>
      <c r="I112" s="12">
        <v>1</v>
      </c>
      <c r="J112" s="14">
        <v>1</v>
      </c>
    </row>
    <row r="113" spans="1:15" x14ac:dyDescent="0.35">
      <c r="A113" s="79"/>
      <c r="B113" s="79"/>
      <c r="C113" s="99"/>
      <c r="D113" s="16" t="s">
        <v>203</v>
      </c>
      <c r="E113" s="17" t="s">
        <v>22</v>
      </c>
      <c r="F113" s="12">
        <v>122</v>
      </c>
      <c r="G113" s="12">
        <v>30</v>
      </c>
      <c r="H113" s="12">
        <v>4</v>
      </c>
      <c r="I113" s="12">
        <v>1</v>
      </c>
      <c r="J113" s="14">
        <v>0</v>
      </c>
      <c r="K113" s="2">
        <f>SUM(F109:F113)</f>
        <v>584</v>
      </c>
      <c r="L113" s="2">
        <f t="shared" ref="L113:O113" si="11">SUM(G109:G113)</f>
        <v>177</v>
      </c>
      <c r="M113" s="2">
        <f t="shared" si="11"/>
        <v>12</v>
      </c>
      <c r="N113" s="2">
        <f t="shared" si="11"/>
        <v>20</v>
      </c>
      <c r="O113" s="2">
        <f t="shared" si="11"/>
        <v>6</v>
      </c>
    </row>
    <row r="114" spans="1:15" x14ac:dyDescent="0.35">
      <c r="A114" s="80" t="s">
        <v>721</v>
      </c>
      <c r="B114" s="80"/>
      <c r="C114" s="105">
        <f>SUM(C12:C109)</f>
        <v>26876</v>
      </c>
      <c r="D114" s="336" t="s">
        <v>229</v>
      </c>
      <c r="E114" s="337"/>
      <c r="F114" s="20">
        <f>SUM(F12:F113)</f>
        <v>11130</v>
      </c>
      <c r="G114" s="20">
        <f>SUM(G12:G113)</f>
        <v>2552</v>
      </c>
      <c r="H114" s="20">
        <f>SUM(H12:H113)</f>
        <v>347</v>
      </c>
      <c r="I114" s="20">
        <f>SUM(I12:I113)</f>
        <v>411</v>
      </c>
      <c r="J114" s="20">
        <f>SUM(J12:J113)</f>
        <v>62</v>
      </c>
    </row>
    <row r="115" spans="1:15" x14ac:dyDescent="0.35">
      <c r="A115" s="338" t="s">
        <v>747</v>
      </c>
      <c r="B115" s="338"/>
      <c r="C115" s="105">
        <f>SUM(C114,F114,G114,H114,I114,J114)</f>
        <v>41378</v>
      </c>
    </row>
  </sheetData>
  <mergeCells count="7">
    <mergeCell ref="A115:B115"/>
    <mergeCell ref="D114:E114"/>
    <mergeCell ref="D1:J1"/>
    <mergeCell ref="D2:J2"/>
    <mergeCell ref="F3:J3"/>
    <mergeCell ref="A1:C1"/>
    <mergeCell ref="A2:C2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workbookViewId="0">
      <selection sqref="A1:C1"/>
    </sheetView>
  </sheetViews>
  <sheetFormatPr defaultRowHeight="21" x14ac:dyDescent="0.35"/>
  <cols>
    <col min="1" max="1" width="14" style="2" customWidth="1"/>
    <col min="2" max="2" width="18.28515625" style="2" customWidth="1"/>
    <col min="3" max="3" width="19.28515625" style="94" customWidth="1"/>
    <col min="4" max="4" width="10.7109375" style="2" customWidth="1"/>
    <col min="5" max="5" width="9.140625" style="22"/>
    <col min="6" max="6" width="13.140625" style="22" customWidth="1"/>
    <col min="7" max="7" width="10.7109375" style="22" customWidth="1"/>
    <col min="8" max="8" width="13" style="22" customWidth="1"/>
    <col min="9" max="9" width="18.140625" style="22" customWidth="1"/>
    <col min="10" max="10" width="16" style="22" customWidth="1"/>
    <col min="11" max="16384" width="9.140625" style="2"/>
  </cols>
  <sheetData>
    <row r="1" spans="1:15" x14ac:dyDescent="0.35">
      <c r="A1" s="334" t="s">
        <v>748</v>
      </c>
      <c r="B1" s="334"/>
      <c r="C1" s="334"/>
      <c r="D1" s="330" t="s">
        <v>233</v>
      </c>
      <c r="E1" s="330"/>
      <c r="F1" s="330"/>
      <c r="G1" s="330"/>
      <c r="H1" s="330"/>
      <c r="I1" s="330"/>
      <c r="J1" s="330"/>
    </row>
    <row r="2" spans="1:15" x14ac:dyDescent="0.35">
      <c r="A2" s="334" t="s">
        <v>861</v>
      </c>
      <c r="B2" s="334"/>
      <c r="C2" s="334"/>
      <c r="D2" s="330" t="s">
        <v>862</v>
      </c>
      <c r="E2" s="330"/>
      <c r="F2" s="330"/>
      <c r="G2" s="330"/>
      <c r="H2" s="330"/>
      <c r="I2" s="330"/>
      <c r="J2" s="330"/>
    </row>
    <row r="3" spans="1:15" x14ac:dyDescent="0.35">
      <c r="A3" s="90"/>
      <c r="B3" s="90"/>
      <c r="C3" s="109"/>
      <c r="D3" s="44"/>
      <c r="E3" s="44"/>
      <c r="F3" s="335" t="s">
        <v>716</v>
      </c>
      <c r="G3" s="335"/>
      <c r="H3" s="335"/>
      <c r="I3" s="335"/>
      <c r="J3" s="335"/>
    </row>
    <row r="4" spans="1:15" x14ac:dyDescent="0.35">
      <c r="A4" s="107" t="s">
        <v>714</v>
      </c>
      <c r="B4" s="107" t="s">
        <v>254</v>
      </c>
      <c r="C4" s="86" t="s">
        <v>715</v>
      </c>
      <c r="D4" s="18" t="s">
        <v>223</v>
      </c>
      <c r="E4" s="59" t="s">
        <v>230</v>
      </c>
      <c r="F4" s="59" t="s">
        <v>218</v>
      </c>
      <c r="G4" s="59" t="s">
        <v>219</v>
      </c>
      <c r="H4" s="59" t="s">
        <v>220</v>
      </c>
      <c r="I4" s="59" t="s">
        <v>226</v>
      </c>
      <c r="J4" s="59" t="s">
        <v>221</v>
      </c>
    </row>
    <row r="5" spans="1:15" x14ac:dyDescent="0.35">
      <c r="A5" s="6" t="s">
        <v>675</v>
      </c>
      <c r="B5" s="6" t="s">
        <v>676</v>
      </c>
      <c r="C5" s="132">
        <v>1513</v>
      </c>
      <c r="D5" s="16" t="s">
        <v>204</v>
      </c>
      <c r="E5" s="17" t="s">
        <v>17</v>
      </c>
      <c r="F5" s="13">
        <v>62</v>
      </c>
      <c r="G5" s="13">
        <v>22</v>
      </c>
      <c r="H5" s="13">
        <v>4</v>
      </c>
      <c r="I5" s="15">
        <v>4</v>
      </c>
      <c r="J5" s="15">
        <v>0</v>
      </c>
    </row>
    <row r="6" spans="1:15" x14ac:dyDescent="0.35">
      <c r="A6" s="73"/>
      <c r="B6" s="73"/>
      <c r="C6" s="97"/>
      <c r="D6" s="16" t="s">
        <v>204</v>
      </c>
      <c r="E6" s="17" t="s">
        <v>2</v>
      </c>
      <c r="F6" s="13">
        <v>60</v>
      </c>
      <c r="G6" s="13">
        <v>10</v>
      </c>
      <c r="H6" s="13">
        <v>4</v>
      </c>
      <c r="I6" s="13">
        <v>1</v>
      </c>
      <c r="J6" s="15">
        <v>1</v>
      </c>
    </row>
    <row r="7" spans="1:15" x14ac:dyDescent="0.35">
      <c r="A7" s="73"/>
      <c r="B7" s="73"/>
      <c r="C7" s="97"/>
      <c r="D7" s="16" t="s">
        <v>204</v>
      </c>
      <c r="E7" s="17" t="s">
        <v>3</v>
      </c>
      <c r="F7" s="13">
        <v>48</v>
      </c>
      <c r="G7" s="13">
        <v>18</v>
      </c>
      <c r="H7" s="15">
        <v>0</v>
      </c>
      <c r="I7" s="15">
        <v>0</v>
      </c>
      <c r="J7" s="15">
        <v>0</v>
      </c>
    </row>
    <row r="8" spans="1:15" x14ac:dyDescent="0.35">
      <c r="A8" s="73"/>
      <c r="B8" s="73"/>
      <c r="C8" s="97"/>
      <c r="D8" s="16" t="s">
        <v>204</v>
      </c>
      <c r="E8" s="17" t="s">
        <v>4</v>
      </c>
      <c r="F8" s="13">
        <v>80</v>
      </c>
      <c r="G8" s="13">
        <v>59</v>
      </c>
      <c r="H8" s="13">
        <v>14</v>
      </c>
      <c r="I8" s="13">
        <v>13</v>
      </c>
      <c r="J8" s="15">
        <v>0</v>
      </c>
    </row>
    <row r="9" spans="1:15" x14ac:dyDescent="0.35">
      <c r="A9" s="73"/>
      <c r="B9" s="73"/>
      <c r="C9" s="97"/>
      <c r="D9" s="16" t="s">
        <v>204</v>
      </c>
      <c r="E9" s="17" t="s">
        <v>5</v>
      </c>
      <c r="F9" s="13">
        <v>62</v>
      </c>
      <c r="G9" s="13">
        <v>12</v>
      </c>
      <c r="H9" s="13">
        <v>7</v>
      </c>
      <c r="I9" s="13">
        <v>2</v>
      </c>
      <c r="J9" s="15">
        <v>1</v>
      </c>
    </row>
    <row r="10" spans="1:15" x14ac:dyDescent="0.35">
      <c r="A10" s="73"/>
      <c r="B10" s="73"/>
      <c r="C10" s="97"/>
      <c r="D10" s="16" t="s">
        <v>204</v>
      </c>
      <c r="E10" s="17" t="s">
        <v>6</v>
      </c>
      <c r="F10" s="13">
        <v>146</v>
      </c>
      <c r="G10" s="13">
        <v>139</v>
      </c>
      <c r="H10" s="13">
        <v>17</v>
      </c>
      <c r="I10" s="13">
        <v>20</v>
      </c>
      <c r="J10" s="15">
        <v>1</v>
      </c>
      <c r="K10" s="2">
        <f>SUM(F5:F10)</f>
        <v>458</v>
      </c>
      <c r="L10" s="2">
        <f t="shared" ref="L10:O10" si="0">SUM(G5:G10)</f>
        <v>260</v>
      </c>
      <c r="M10" s="2">
        <f t="shared" si="0"/>
        <v>46</v>
      </c>
      <c r="N10" s="2">
        <f t="shared" si="0"/>
        <v>40</v>
      </c>
      <c r="O10" s="2">
        <f t="shared" si="0"/>
        <v>3</v>
      </c>
    </row>
    <row r="11" spans="1:15" x14ac:dyDescent="0.35">
      <c r="A11" s="6" t="s">
        <v>677</v>
      </c>
      <c r="B11" s="6" t="s">
        <v>678</v>
      </c>
      <c r="C11" s="132">
        <v>761</v>
      </c>
      <c r="D11" s="16" t="s">
        <v>206</v>
      </c>
      <c r="E11" s="17" t="s">
        <v>17</v>
      </c>
      <c r="F11" s="13">
        <v>92</v>
      </c>
      <c r="G11" s="13">
        <v>62</v>
      </c>
      <c r="H11" s="13">
        <v>12</v>
      </c>
      <c r="I11" s="13">
        <v>7</v>
      </c>
      <c r="J11" s="15">
        <v>0</v>
      </c>
    </row>
    <row r="12" spans="1:15" x14ac:dyDescent="0.35">
      <c r="A12" s="73"/>
      <c r="B12" s="73"/>
      <c r="C12" s="97"/>
      <c r="D12" s="16" t="s">
        <v>206</v>
      </c>
      <c r="E12" s="17" t="s">
        <v>2</v>
      </c>
      <c r="F12" s="13">
        <v>61</v>
      </c>
      <c r="G12" s="13">
        <v>25</v>
      </c>
      <c r="H12" s="13">
        <v>2</v>
      </c>
      <c r="I12" s="13">
        <v>3</v>
      </c>
      <c r="J12" s="15">
        <v>0</v>
      </c>
    </row>
    <row r="13" spans="1:15" x14ac:dyDescent="0.35">
      <c r="A13" s="73"/>
      <c r="B13" s="73"/>
      <c r="C13" s="97"/>
      <c r="D13" s="16" t="s">
        <v>206</v>
      </c>
      <c r="E13" s="17" t="s">
        <v>3</v>
      </c>
      <c r="F13" s="13">
        <v>88</v>
      </c>
      <c r="G13" s="13">
        <v>39</v>
      </c>
      <c r="H13" s="13">
        <v>4</v>
      </c>
      <c r="I13" s="15">
        <v>0</v>
      </c>
      <c r="J13" s="15">
        <v>1</v>
      </c>
    </row>
    <row r="14" spans="1:15" x14ac:dyDescent="0.35">
      <c r="A14" s="73"/>
      <c r="B14" s="73"/>
      <c r="C14" s="97"/>
      <c r="D14" s="16" t="s">
        <v>206</v>
      </c>
      <c r="E14" s="17" t="s">
        <v>4</v>
      </c>
      <c r="F14" s="13">
        <v>105</v>
      </c>
      <c r="G14" s="13">
        <v>21</v>
      </c>
      <c r="H14" s="13">
        <v>2</v>
      </c>
      <c r="I14" s="13">
        <v>8</v>
      </c>
      <c r="J14" s="15">
        <v>0</v>
      </c>
      <c r="K14" s="2">
        <f>SUM(F11:F14)</f>
        <v>346</v>
      </c>
      <c r="L14" s="2">
        <f t="shared" ref="L14:O14" si="1">SUM(G11:G14)</f>
        <v>147</v>
      </c>
      <c r="M14" s="2">
        <f t="shared" si="1"/>
        <v>20</v>
      </c>
      <c r="N14" s="2">
        <f t="shared" si="1"/>
        <v>18</v>
      </c>
      <c r="O14" s="2">
        <f t="shared" si="1"/>
        <v>1</v>
      </c>
    </row>
    <row r="15" spans="1:15" x14ac:dyDescent="0.35">
      <c r="A15" s="3" t="s">
        <v>679</v>
      </c>
      <c r="B15" s="3" t="s">
        <v>680</v>
      </c>
      <c r="C15" s="131">
        <v>480</v>
      </c>
      <c r="D15" s="16" t="s">
        <v>205</v>
      </c>
      <c r="E15" s="17" t="s">
        <v>17</v>
      </c>
      <c r="F15" s="12">
        <v>34</v>
      </c>
      <c r="G15" s="12">
        <v>23</v>
      </c>
      <c r="H15" s="12">
        <v>1</v>
      </c>
      <c r="I15" s="12">
        <v>1</v>
      </c>
      <c r="J15" s="14">
        <v>0</v>
      </c>
    </row>
    <row r="16" spans="1:15" x14ac:dyDescent="0.35">
      <c r="A16" s="3" t="s">
        <v>681</v>
      </c>
      <c r="B16" s="3" t="s">
        <v>682</v>
      </c>
      <c r="C16" s="131">
        <v>260</v>
      </c>
      <c r="D16" s="16" t="s">
        <v>205</v>
      </c>
      <c r="E16" s="17" t="s">
        <v>2</v>
      </c>
      <c r="F16" s="12">
        <v>77</v>
      </c>
      <c r="G16" s="12">
        <v>29</v>
      </c>
      <c r="H16" s="12">
        <v>4</v>
      </c>
      <c r="I16" s="14">
        <v>0</v>
      </c>
      <c r="J16" s="14">
        <v>0</v>
      </c>
    </row>
    <row r="17" spans="1:15" x14ac:dyDescent="0.35">
      <c r="A17" s="79"/>
      <c r="B17" s="79"/>
      <c r="C17" s="99"/>
      <c r="D17" s="16" t="s">
        <v>205</v>
      </c>
      <c r="E17" s="17" t="s">
        <v>3</v>
      </c>
      <c r="F17" s="12">
        <v>158</v>
      </c>
      <c r="G17" s="12">
        <v>17</v>
      </c>
      <c r="H17" s="12">
        <v>8</v>
      </c>
      <c r="I17" s="12">
        <v>3</v>
      </c>
      <c r="J17" s="14">
        <v>0</v>
      </c>
    </row>
    <row r="18" spans="1:15" x14ac:dyDescent="0.35">
      <c r="A18" s="79"/>
      <c r="B18" s="79"/>
      <c r="C18" s="99"/>
      <c r="D18" s="16" t="s">
        <v>205</v>
      </c>
      <c r="E18" s="17" t="s">
        <v>4</v>
      </c>
      <c r="F18" s="12">
        <v>51</v>
      </c>
      <c r="G18" s="12">
        <v>11</v>
      </c>
      <c r="H18" s="12">
        <v>3</v>
      </c>
      <c r="I18" s="12">
        <v>1</v>
      </c>
      <c r="J18" s="14">
        <v>0</v>
      </c>
    </row>
    <row r="19" spans="1:15" x14ac:dyDescent="0.35">
      <c r="A19" s="79"/>
      <c r="B19" s="79"/>
      <c r="C19" s="99"/>
      <c r="D19" s="16" t="s">
        <v>205</v>
      </c>
      <c r="E19" s="17" t="s">
        <v>5</v>
      </c>
      <c r="F19" s="12">
        <v>60</v>
      </c>
      <c r="G19" s="12">
        <v>22</v>
      </c>
      <c r="H19" s="12">
        <v>1</v>
      </c>
      <c r="I19" s="12">
        <v>3</v>
      </c>
      <c r="J19" s="14">
        <v>0</v>
      </c>
      <c r="K19" s="2">
        <f>SUM(F16:F19)</f>
        <v>346</v>
      </c>
      <c r="L19" s="2">
        <f t="shared" ref="L19:N19" si="2">SUM(G16:G19)</f>
        <v>79</v>
      </c>
      <c r="M19" s="2">
        <f t="shared" si="2"/>
        <v>16</v>
      </c>
      <c r="N19" s="2">
        <f t="shared" si="2"/>
        <v>7</v>
      </c>
      <c r="O19" s="2">
        <f>SUM(J16:J19)</f>
        <v>0</v>
      </c>
    </row>
    <row r="20" spans="1:15" x14ac:dyDescent="0.35">
      <c r="A20" s="3" t="s">
        <v>683</v>
      </c>
      <c r="B20" s="3" t="s">
        <v>377</v>
      </c>
      <c r="C20" s="131">
        <v>760</v>
      </c>
      <c r="D20" s="16" t="s">
        <v>90</v>
      </c>
      <c r="E20" s="17" t="s">
        <v>17</v>
      </c>
      <c r="F20" s="12">
        <v>72</v>
      </c>
      <c r="G20" s="12">
        <v>24</v>
      </c>
      <c r="H20" s="12">
        <v>4</v>
      </c>
      <c r="I20" s="12">
        <v>3</v>
      </c>
      <c r="J20" s="14">
        <v>0</v>
      </c>
    </row>
    <row r="21" spans="1:15" x14ac:dyDescent="0.35">
      <c r="A21" s="79"/>
      <c r="B21" s="79"/>
      <c r="C21" s="99"/>
      <c r="D21" s="16" t="s">
        <v>90</v>
      </c>
      <c r="E21" s="17" t="s">
        <v>2</v>
      </c>
      <c r="F21" s="12">
        <v>107</v>
      </c>
      <c r="G21" s="12">
        <v>52</v>
      </c>
      <c r="H21" s="12">
        <v>6</v>
      </c>
      <c r="I21" s="12">
        <v>4</v>
      </c>
      <c r="J21" s="14">
        <v>0</v>
      </c>
    </row>
    <row r="22" spans="1:15" x14ac:dyDescent="0.35">
      <c r="A22" s="79"/>
      <c r="B22" s="79"/>
      <c r="C22" s="99"/>
      <c r="D22" s="16" t="s">
        <v>90</v>
      </c>
      <c r="E22" s="17" t="s">
        <v>3</v>
      </c>
      <c r="F22" s="12">
        <v>92</v>
      </c>
      <c r="G22" s="12">
        <v>17</v>
      </c>
      <c r="H22" s="12">
        <v>6</v>
      </c>
      <c r="I22" s="12">
        <v>4</v>
      </c>
      <c r="J22" s="14">
        <v>0</v>
      </c>
    </row>
    <row r="23" spans="1:15" x14ac:dyDescent="0.35">
      <c r="A23" s="79"/>
      <c r="B23" s="79"/>
      <c r="C23" s="99"/>
      <c r="D23" s="16" t="s">
        <v>90</v>
      </c>
      <c r="E23" s="17" t="s">
        <v>4</v>
      </c>
      <c r="F23" s="12">
        <v>42</v>
      </c>
      <c r="G23" s="12">
        <v>14</v>
      </c>
      <c r="H23" s="12">
        <v>2</v>
      </c>
      <c r="I23" s="14">
        <v>0</v>
      </c>
      <c r="J23" s="14">
        <v>0</v>
      </c>
      <c r="K23" s="2">
        <f>SUM(F20:F23)</f>
        <v>313</v>
      </c>
      <c r="L23" s="2">
        <f t="shared" ref="L23" si="3">SUM(G20:G23)</f>
        <v>107</v>
      </c>
      <c r="M23" s="2">
        <f t="shared" ref="M23" si="4">SUM(H20:H23)</f>
        <v>18</v>
      </c>
      <c r="N23" s="2">
        <f t="shared" ref="N23" si="5">SUM(I20:I23)</f>
        <v>11</v>
      </c>
      <c r="O23" s="2">
        <f t="shared" ref="O23" si="6">SUM(J20:J23)</f>
        <v>0</v>
      </c>
    </row>
    <row r="24" spans="1:15" x14ac:dyDescent="0.35">
      <c r="A24" s="6" t="s">
        <v>684</v>
      </c>
      <c r="B24" s="6" t="s">
        <v>685</v>
      </c>
      <c r="C24" s="132">
        <v>1092</v>
      </c>
      <c r="D24" s="16" t="s">
        <v>207</v>
      </c>
      <c r="E24" s="17" t="s">
        <v>17</v>
      </c>
      <c r="F24" s="13">
        <v>159</v>
      </c>
      <c r="G24" s="13">
        <v>31</v>
      </c>
      <c r="H24" s="13">
        <v>6</v>
      </c>
      <c r="I24" s="13">
        <v>7</v>
      </c>
      <c r="J24" s="15">
        <v>1</v>
      </c>
    </row>
    <row r="25" spans="1:15" x14ac:dyDescent="0.35">
      <c r="A25" s="73"/>
      <c r="B25" s="73"/>
      <c r="C25" s="97"/>
      <c r="D25" s="16" t="s">
        <v>207</v>
      </c>
      <c r="E25" s="17" t="s">
        <v>2</v>
      </c>
      <c r="F25" s="13">
        <v>62</v>
      </c>
      <c r="G25" s="13">
        <v>36</v>
      </c>
      <c r="H25" s="13">
        <v>1</v>
      </c>
      <c r="I25" s="13">
        <v>2</v>
      </c>
      <c r="J25" s="15">
        <v>1</v>
      </c>
    </row>
    <row r="26" spans="1:15" x14ac:dyDescent="0.35">
      <c r="A26" s="73"/>
      <c r="B26" s="73"/>
      <c r="C26" s="97"/>
      <c r="D26" s="16" t="s">
        <v>207</v>
      </c>
      <c r="E26" s="17" t="s">
        <v>3</v>
      </c>
      <c r="F26" s="13">
        <v>41</v>
      </c>
      <c r="G26" s="13">
        <v>15</v>
      </c>
      <c r="H26" s="13">
        <v>5</v>
      </c>
      <c r="I26" s="13">
        <v>2</v>
      </c>
      <c r="J26" s="15">
        <v>0</v>
      </c>
    </row>
    <row r="27" spans="1:15" x14ac:dyDescent="0.35">
      <c r="A27" s="73"/>
      <c r="B27" s="73"/>
      <c r="C27" s="97"/>
      <c r="D27" s="16" t="s">
        <v>207</v>
      </c>
      <c r="E27" s="17" t="s">
        <v>4</v>
      </c>
      <c r="F27" s="13">
        <v>89</v>
      </c>
      <c r="G27" s="13">
        <v>43</v>
      </c>
      <c r="H27" s="13">
        <v>13</v>
      </c>
      <c r="I27" s="13">
        <v>8</v>
      </c>
      <c r="J27" s="15">
        <v>1</v>
      </c>
    </row>
    <row r="28" spans="1:15" x14ac:dyDescent="0.35">
      <c r="A28" s="73"/>
      <c r="B28" s="73"/>
      <c r="C28" s="97"/>
      <c r="D28" s="16" t="s">
        <v>207</v>
      </c>
      <c r="E28" s="17" t="s">
        <v>5</v>
      </c>
      <c r="F28" s="13">
        <v>127</v>
      </c>
      <c r="G28" s="13">
        <v>52</v>
      </c>
      <c r="H28" s="13">
        <v>5</v>
      </c>
      <c r="I28" s="13">
        <v>8</v>
      </c>
      <c r="J28" s="15">
        <v>0</v>
      </c>
      <c r="K28" s="2">
        <f>SUM(F24:F28)</f>
        <v>478</v>
      </c>
      <c r="L28" s="2">
        <f t="shared" ref="L28:O28" si="7">SUM(G24:G28)</f>
        <v>177</v>
      </c>
      <c r="M28" s="2">
        <f t="shared" si="7"/>
        <v>30</v>
      </c>
      <c r="N28" s="2">
        <f t="shared" si="7"/>
        <v>27</v>
      </c>
      <c r="O28" s="2">
        <f t="shared" si="7"/>
        <v>3</v>
      </c>
    </row>
    <row r="29" spans="1:15" x14ac:dyDescent="0.35">
      <c r="A29" s="3" t="s">
        <v>686</v>
      </c>
      <c r="B29" s="3" t="s">
        <v>687</v>
      </c>
      <c r="C29" s="131">
        <v>962</v>
      </c>
      <c r="D29" s="16" t="s">
        <v>208</v>
      </c>
      <c r="E29" s="17" t="s">
        <v>17</v>
      </c>
      <c r="F29" s="12">
        <v>136</v>
      </c>
      <c r="G29" s="12">
        <v>97</v>
      </c>
      <c r="H29" s="12">
        <v>14</v>
      </c>
      <c r="I29" s="12">
        <v>10</v>
      </c>
      <c r="J29" s="14">
        <v>0</v>
      </c>
    </row>
    <row r="30" spans="1:15" x14ac:dyDescent="0.35">
      <c r="A30" s="79"/>
      <c r="B30" s="79"/>
      <c r="C30" s="99"/>
      <c r="D30" s="16" t="s">
        <v>208</v>
      </c>
      <c r="E30" s="17" t="s">
        <v>2</v>
      </c>
      <c r="F30" s="12">
        <v>120</v>
      </c>
      <c r="G30" s="12">
        <v>51</v>
      </c>
      <c r="H30" s="12">
        <v>7</v>
      </c>
      <c r="I30" s="12">
        <v>4</v>
      </c>
      <c r="J30" s="14">
        <v>0</v>
      </c>
    </row>
    <row r="31" spans="1:15" x14ac:dyDescent="0.35">
      <c r="A31" s="79"/>
      <c r="B31" s="79"/>
      <c r="C31" s="99"/>
      <c r="D31" s="16" t="s">
        <v>208</v>
      </c>
      <c r="E31" s="17" t="s">
        <v>3</v>
      </c>
      <c r="F31" s="12">
        <v>53</v>
      </c>
      <c r="G31" s="12">
        <v>22</v>
      </c>
      <c r="H31" s="12">
        <v>1</v>
      </c>
      <c r="I31" s="12">
        <v>3</v>
      </c>
      <c r="J31" s="14">
        <v>0</v>
      </c>
    </row>
    <row r="32" spans="1:15" x14ac:dyDescent="0.35">
      <c r="A32" s="79"/>
      <c r="B32" s="79"/>
      <c r="C32" s="99"/>
      <c r="D32" s="16" t="s">
        <v>208</v>
      </c>
      <c r="E32" s="17" t="s">
        <v>4</v>
      </c>
      <c r="F32" s="12">
        <v>77</v>
      </c>
      <c r="G32" s="12">
        <v>37</v>
      </c>
      <c r="H32" s="12">
        <v>2</v>
      </c>
      <c r="I32" s="12">
        <v>2</v>
      </c>
      <c r="J32" s="14">
        <v>1</v>
      </c>
      <c r="K32" s="2">
        <f>SUM(F29:F32)</f>
        <v>386</v>
      </c>
      <c r="L32" s="2">
        <f t="shared" ref="L32:O32" si="8">SUM(G29:G32)</f>
        <v>207</v>
      </c>
      <c r="M32" s="2">
        <f t="shared" si="8"/>
        <v>24</v>
      </c>
      <c r="N32" s="2">
        <f t="shared" si="8"/>
        <v>19</v>
      </c>
      <c r="O32" s="2">
        <f t="shared" si="8"/>
        <v>1</v>
      </c>
    </row>
    <row r="33" spans="1:15" x14ac:dyDescent="0.35">
      <c r="A33" s="6" t="s">
        <v>688</v>
      </c>
      <c r="B33" s="6" t="s">
        <v>689</v>
      </c>
      <c r="C33" s="132">
        <v>840</v>
      </c>
      <c r="D33" s="16" t="s">
        <v>209</v>
      </c>
      <c r="E33" s="17" t="s">
        <v>17</v>
      </c>
      <c r="F33" s="13">
        <v>36</v>
      </c>
      <c r="G33" s="13">
        <v>12</v>
      </c>
      <c r="H33" s="15">
        <v>0</v>
      </c>
      <c r="I33" s="13">
        <v>6</v>
      </c>
      <c r="J33" s="15">
        <v>1</v>
      </c>
    </row>
    <row r="34" spans="1:15" x14ac:dyDescent="0.35">
      <c r="A34" s="73"/>
      <c r="B34" s="73"/>
      <c r="C34" s="97"/>
      <c r="D34" s="16" t="s">
        <v>209</v>
      </c>
      <c r="E34" s="17" t="s">
        <v>2</v>
      </c>
      <c r="F34" s="13">
        <v>68</v>
      </c>
      <c r="G34" s="13">
        <v>41</v>
      </c>
      <c r="H34" s="13">
        <v>5</v>
      </c>
      <c r="I34" s="13">
        <v>3</v>
      </c>
      <c r="J34" s="13">
        <v>0</v>
      </c>
    </row>
    <row r="35" spans="1:15" x14ac:dyDescent="0.35">
      <c r="A35" s="73"/>
      <c r="B35" s="73"/>
      <c r="C35" s="97"/>
      <c r="D35" s="16" t="s">
        <v>209</v>
      </c>
      <c r="E35" s="17" t="s">
        <v>3</v>
      </c>
      <c r="F35" s="13">
        <v>129</v>
      </c>
      <c r="G35" s="13">
        <v>47</v>
      </c>
      <c r="H35" s="13">
        <v>3</v>
      </c>
      <c r="I35" s="13">
        <v>3</v>
      </c>
      <c r="J35" s="15">
        <v>0</v>
      </c>
    </row>
    <row r="36" spans="1:15" x14ac:dyDescent="0.35">
      <c r="A36" s="73"/>
      <c r="B36" s="73"/>
      <c r="C36" s="97"/>
      <c r="D36" s="16" t="s">
        <v>209</v>
      </c>
      <c r="E36" s="17" t="s">
        <v>4</v>
      </c>
      <c r="F36" s="13">
        <v>66</v>
      </c>
      <c r="G36" s="13">
        <v>29</v>
      </c>
      <c r="H36" s="13">
        <v>3</v>
      </c>
      <c r="I36" s="13">
        <v>4</v>
      </c>
      <c r="J36" s="15">
        <v>1</v>
      </c>
    </row>
    <row r="37" spans="1:15" x14ac:dyDescent="0.35">
      <c r="A37" s="73"/>
      <c r="B37" s="73"/>
      <c r="C37" s="97"/>
      <c r="D37" s="16" t="s">
        <v>209</v>
      </c>
      <c r="E37" s="17" t="s">
        <v>5</v>
      </c>
      <c r="F37" s="13">
        <v>49</v>
      </c>
      <c r="G37" s="13">
        <v>28</v>
      </c>
      <c r="H37" s="13">
        <v>1</v>
      </c>
      <c r="I37" s="13">
        <v>2</v>
      </c>
      <c r="J37" s="15">
        <v>0</v>
      </c>
      <c r="K37" s="2">
        <f>SUM(F33:F37)</f>
        <v>348</v>
      </c>
      <c r="L37" s="2">
        <f t="shared" ref="L37:O37" si="9">SUM(G33:G37)</f>
        <v>157</v>
      </c>
      <c r="M37" s="2">
        <f t="shared" si="9"/>
        <v>12</v>
      </c>
      <c r="N37" s="2">
        <f t="shared" si="9"/>
        <v>18</v>
      </c>
      <c r="O37" s="2">
        <f t="shared" si="9"/>
        <v>2</v>
      </c>
    </row>
    <row r="38" spans="1:15" x14ac:dyDescent="0.35">
      <c r="A38" s="3" t="s">
        <v>690</v>
      </c>
      <c r="B38" s="3" t="s">
        <v>691</v>
      </c>
      <c r="C38" s="131">
        <v>894</v>
      </c>
      <c r="D38" s="16" t="s">
        <v>210</v>
      </c>
      <c r="E38" s="17" t="s">
        <v>17</v>
      </c>
      <c r="F38" s="12">
        <v>76</v>
      </c>
      <c r="G38" s="12">
        <v>53</v>
      </c>
      <c r="H38" s="12">
        <v>11</v>
      </c>
      <c r="I38" s="12">
        <v>7</v>
      </c>
      <c r="J38" s="12">
        <v>0</v>
      </c>
    </row>
    <row r="39" spans="1:15" x14ac:dyDescent="0.35">
      <c r="A39" s="79"/>
      <c r="B39" s="79"/>
      <c r="C39" s="99"/>
      <c r="D39" s="16" t="s">
        <v>210</v>
      </c>
      <c r="E39" s="17" t="s">
        <v>2</v>
      </c>
      <c r="F39" s="12">
        <v>100</v>
      </c>
      <c r="G39" s="12">
        <v>38</v>
      </c>
      <c r="H39" s="12">
        <v>2</v>
      </c>
      <c r="I39" s="12">
        <v>4</v>
      </c>
      <c r="J39" s="14">
        <v>1</v>
      </c>
    </row>
    <row r="40" spans="1:15" x14ac:dyDescent="0.35">
      <c r="A40" s="79"/>
      <c r="B40" s="79"/>
      <c r="C40" s="99"/>
      <c r="D40" s="16" t="s">
        <v>210</v>
      </c>
      <c r="E40" s="17" t="s">
        <v>3</v>
      </c>
      <c r="F40" s="12">
        <v>42</v>
      </c>
      <c r="G40" s="12">
        <v>16</v>
      </c>
      <c r="H40" s="12">
        <v>3</v>
      </c>
      <c r="I40" s="12">
        <v>0</v>
      </c>
      <c r="J40" s="14">
        <v>0</v>
      </c>
    </row>
    <row r="41" spans="1:15" x14ac:dyDescent="0.35">
      <c r="A41" s="79"/>
      <c r="B41" s="79"/>
      <c r="C41" s="99"/>
      <c r="D41" s="16" t="s">
        <v>210</v>
      </c>
      <c r="E41" s="17" t="s">
        <v>4</v>
      </c>
      <c r="F41" s="12">
        <v>46</v>
      </c>
      <c r="G41" s="12">
        <v>41</v>
      </c>
      <c r="H41" s="12">
        <v>1</v>
      </c>
      <c r="I41" s="12">
        <v>4</v>
      </c>
      <c r="J41" s="14">
        <v>0</v>
      </c>
    </row>
    <row r="42" spans="1:15" x14ac:dyDescent="0.35">
      <c r="A42" s="79"/>
      <c r="B42" s="79"/>
      <c r="C42" s="99"/>
      <c r="D42" s="16" t="s">
        <v>210</v>
      </c>
      <c r="E42" s="17" t="s">
        <v>5</v>
      </c>
      <c r="F42" s="12">
        <v>44</v>
      </c>
      <c r="G42" s="12">
        <v>37</v>
      </c>
      <c r="H42" s="12">
        <v>11</v>
      </c>
      <c r="I42" s="12">
        <v>3</v>
      </c>
      <c r="J42" s="14">
        <v>0</v>
      </c>
    </row>
    <row r="43" spans="1:15" x14ac:dyDescent="0.35">
      <c r="A43" s="79"/>
      <c r="B43" s="79"/>
      <c r="C43" s="99"/>
      <c r="D43" s="16" t="s">
        <v>210</v>
      </c>
      <c r="E43" s="17" t="s">
        <v>6</v>
      </c>
      <c r="F43" s="12">
        <v>69</v>
      </c>
      <c r="G43" s="12">
        <v>13</v>
      </c>
      <c r="H43" s="14">
        <v>0</v>
      </c>
      <c r="I43" s="12">
        <v>3</v>
      </c>
      <c r="J43" s="14">
        <v>0</v>
      </c>
    </row>
    <row r="44" spans="1:15" x14ac:dyDescent="0.35">
      <c r="A44" s="79"/>
      <c r="B44" s="79"/>
      <c r="C44" s="99"/>
      <c r="D44" s="16" t="s">
        <v>210</v>
      </c>
      <c r="E44" s="17" t="s">
        <v>7</v>
      </c>
      <c r="F44" s="12">
        <v>51</v>
      </c>
      <c r="G44" s="12">
        <v>12</v>
      </c>
      <c r="H44" s="12">
        <v>9</v>
      </c>
      <c r="I44" s="12">
        <v>5</v>
      </c>
      <c r="J44" s="14">
        <v>0</v>
      </c>
      <c r="K44" s="2">
        <f>SUM(F38:F44)</f>
        <v>428</v>
      </c>
      <c r="L44" s="2">
        <f t="shared" ref="L44:O44" si="10">SUM(G38:G44)</f>
        <v>210</v>
      </c>
      <c r="M44" s="2">
        <f t="shared" si="10"/>
        <v>37</v>
      </c>
      <c r="N44" s="2">
        <f t="shared" si="10"/>
        <v>26</v>
      </c>
      <c r="O44" s="2">
        <f t="shared" si="10"/>
        <v>1</v>
      </c>
    </row>
    <row r="45" spans="1:15" x14ac:dyDescent="0.35">
      <c r="A45" s="6" t="s">
        <v>692</v>
      </c>
      <c r="B45" s="6" t="s">
        <v>693</v>
      </c>
      <c r="C45" s="132">
        <v>2246</v>
      </c>
      <c r="D45" s="16" t="s">
        <v>211</v>
      </c>
      <c r="E45" s="17" t="s">
        <v>17</v>
      </c>
      <c r="F45" s="13">
        <v>101</v>
      </c>
      <c r="G45" s="13">
        <v>36</v>
      </c>
      <c r="H45" s="13">
        <v>5</v>
      </c>
      <c r="I45" s="13">
        <v>6</v>
      </c>
      <c r="J45" s="15">
        <v>0</v>
      </c>
    </row>
    <row r="46" spans="1:15" x14ac:dyDescent="0.35">
      <c r="A46" s="73"/>
      <c r="B46" s="73"/>
      <c r="C46" s="97"/>
      <c r="D46" s="16" t="s">
        <v>211</v>
      </c>
      <c r="E46" s="17" t="s">
        <v>2</v>
      </c>
      <c r="F46" s="13">
        <v>117</v>
      </c>
      <c r="G46" s="13">
        <v>48</v>
      </c>
      <c r="H46" s="13">
        <v>8</v>
      </c>
      <c r="I46" s="13">
        <v>10</v>
      </c>
      <c r="J46" s="15">
        <v>0</v>
      </c>
    </row>
    <row r="47" spans="1:15" x14ac:dyDescent="0.35">
      <c r="A47" s="73"/>
      <c r="B47" s="73"/>
      <c r="C47" s="97"/>
      <c r="D47" s="16" t="s">
        <v>211</v>
      </c>
      <c r="E47" s="17" t="s">
        <v>3</v>
      </c>
      <c r="F47" s="13">
        <v>90</v>
      </c>
      <c r="G47" s="13">
        <v>50</v>
      </c>
      <c r="H47" s="13">
        <v>1</v>
      </c>
      <c r="I47" s="13">
        <v>4</v>
      </c>
      <c r="J47" s="15">
        <v>2</v>
      </c>
    </row>
    <row r="48" spans="1:15" x14ac:dyDescent="0.35">
      <c r="A48" s="73"/>
      <c r="B48" s="73"/>
      <c r="C48" s="97"/>
      <c r="D48" s="16" t="s">
        <v>211</v>
      </c>
      <c r="E48" s="17" t="s">
        <v>4</v>
      </c>
      <c r="F48" s="13">
        <v>244</v>
      </c>
      <c r="G48" s="13">
        <v>41</v>
      </c>
      <c r="H48" s="13">
        <v>7</v>
      </c>
      <c r="I48" s="13">
        <v>7</v>
      </c>
      <c r="J48" s="15">
        <v>3</v>
      </c>
    </row>
    <row r="49" spans="1:15" x14ac:dyDescent="0.35">
      <c r="A49" s="73"/>
      <c r="B49" s="73"/>
      <c r="C49" s="97"/>
      <c r="D49" s="16" t="s">
        <v>211</v>
      </c>
      <c r="E49" s="17" t="s">
        <v>5</v>
      </c>
      <c r="F49" s="13">
        <v>204</v>
      </c>
      <c r="G49" s="13">
        <v>68</v>
      </c>
      <c r="H49" s="13">
        <v>12</v>
      </c>
      <c r="I49" s="13">
        <v>9</v>
      </c>
      <c r="J49" s="15">
        <v>1</v>
      </c>
    </row>
    <row r="50" spans="1:15" x14ac:dyDescent="0.35">
      <c r="A50" s="73"/>
      <c r="B50" s="73"/>
      <c r="C50" s="97"/>
      <c r="D50" s="16" t="s">
        <v>211</v>
      </c>
      <c r="E50" s="17" t="s">
        <v>6</v>
      </c>
      <c r="F50" s="13">
        <v>81</v>
      </c>
      <c r="G50" s="13">
        <v>34</v>
      </c>
      <c r="H50" s="15">
        <v>0</v>
      </c>
      <c r="I50" s="13">
        <v>6</v>
      </c>
      <c r="J50" s="15">
        <v>0</v>
      </c>
      <c r="K50" s="2">
        <f>SUM(F45:F50)</f>
        <v>837</v>
      </c>
      <c r="L50" s="2">
        <f t="shared" ref="L50:O50" si="11">SUM(G45:G50)</f>
        <v>277</v>
      </c>
      <c r="M50" s="2">
        <f t="shared" si="11"/>
        <v>33</v>
      </c>
      <c r="N50" s="2">
        <f t="shared" si="11"/>
        <v>42</v>
      </c>
      <c r="O50" s="2">
        <f t="shared" si="11"/>
        <v>6</v>
      </c>
    </row>
    <row r="51" spans="1:15" x14ac:dyDescent="0.35">
      <c r="A51" s="3" t="s">
        <v>694</v>
      </c>
      <c r="B51" s="3" t="s">
        <v>695</v>
      </c>
      <c r="C51" s="131">
        <v>1153</v>
      </c>
      <c r="D51" s="16" t="s">
        <v>212</v>
      </c>
      <c r="E51" s="17" t="s">
        <v>17</v>
      </c>
      <c r="F51" s="12">
        <v>138</v>
      </c>
      <c r="G51" s="12">
        <v>75</v>
      </c>
      <c r="H51" s="12">
        <v>8</v>
      </c>
      <c r="I51" s="12">
        <v>6</v>
      </c>
      <c r="J51" s="12">
        <v>2</v>
      </c>
    </row>
    <row r="52" spans="1:15" x14ac:dyDescent="0.35">
      <c r="A52" s="79"/>
      <c r="B52" s="79"/>
      <c r="C52" s="99"/>
      <c r="D52" s="16" t="s">
        <v>212</v>
      </c>
      <c r="E52" s="17" t="s">
        <v>2</v>
      </c>
      <c r="F52" s="12">
        <v>81</v>
      </c>
      <c r="G52" s="12">
        <v>47</v>
      </c>
      <c r="H52" s="12">
        <v>3</v>
      </c>
      <c r="I52" s="12">
        <v>6</v>
      </c>
      <c r="J52" s="12">
        <v>1</v>
      </c>
    </row>
    <row r="53" spans="1:15" x14ac:dyDescent="0.35">
      <c r="A53" s="79"/>
      <c r="B53" s="79"/>
      <c r="C53" s="99"/>
      <c r="D53" s="16" t="s">
        <v>212</v>
      </c>
      <c r="E53" s="17" t="s">
        <v>3</v>
      </c>
      <c r="F53" s="12">
        <v>196</v>
      </c>
      <c r="G53" s="12">
        <v>81</v>
      </c>
      <c r="H53" s="12">
        <v>16</v>
      </c>
      <c r="I53" s="12">
        <v>14</v>
      </c>
      <c r="J53" s="14">
        <v>2</v>
      </c>
    </row>
    <row r="54" spans="1:15" x14ac:dyDescent="0.35">
      <c r="A54" s="79"/>
      <c r="B54" s="79"/>
      <c r="C54" s="99"/>
      <c r="D54" s="16" t="s">
        <v>212</v>
      </c>
      <c r="E54" s="17" t="s">
        <v>4</v>
      </c>
      <c r="F54" s="12">
        <v>60</v>
      </c>
      <c r="G54" s="12">
        <v>24</v>
      </c>
      <c r="H54" s="12">
        <v>3</v>
      </c>
      <c r="I54" s="12">
        <v>2</v>
      </c>
      <c r="J54" s="14">
        <v>0</v>
      </c>
      <c r="K54" s="2">
        <f>SUM(F51:F54)</f>
        <v>475</v>
      </c>
      <c r="L54" s="2">
        <f t="shared" ref="L54:O54" si="12">SUM(G51:G54)</f>
        <v>227</v>
      </c>
      <c r="M54" s="2">
        <f t="shared" si="12"/>
        <v>30</v>
      </c>
      <c r="N54" s="2">
        <f t="shared" si="12"/>
        <v>28</v>
      </c>
      <c r="O54" s="2">
        <f t="shared" si="12"/>
        <v>5</v>
      </c>
    </row>
    <row r="55" spans="1:15" x14ac:dyDescent="0.35">
      <c r="A55" s="6" t="s">
        <v>696</v>
      </c>
      <c r="B55" s="6" t="s">
        <v>697</v>
      </c>
      <c r="C55" s="132">
        <v>1337</v>
      </c>
      <c r="D55" s="16" t="s">
        <v>213</v>
      </c>
      <c r="E55" s="17" t="s">
        <v>17</v>
      </c>
      <c r="F55" s="13">
        <v>167</v>
      </c>
      <c r="G55" s="13">
        <v>48</v>
      </c>
      <c r="H55" s="13">
        <v>14</v>
      </c>
      <c r="I55" s="13">
        <v>15</v>
      </c>
      <c r="J55" s="13">
        <v>2</v>
      </c>
    </row>
    <row r="56" spans="1:15" x14ac:dyDescent="0.35">
      <c r="A56" s="73"/>
      <c r="B56" s="73"/>
      <c r="C56" s="97"/>
      <c r="D56" s="16" t="s">
        <v>213</v>
      </c>
      <c r="E56" s="17" t="s">
        <v>2</v>
      </c>
      <c r="F56" s="13">
        <v>93</v>
      </c>
      <c r="G56" s="13">
        <v>21</v>
      </c>
      <c r="H56" s="13">
        <v>2</v>
      </c>
      <c r="I56" s="13">
        <v>5</v>
      </c>
      <c r="J56" s="15">
        <v>0</v>
      </c>
    </row>
    <row r="57" spans="1:15" x14ac:dyDescent="0.35">
      <c r="A57" s="73"/>
      <c r="B57" s="73"/>
      <c r="C57" s="97"/>
      <c r="D57" s="16" t="s">
        <v>213</v>
      </c>
      <c r="E57" s="17" t="s">
        <v>3</v>
      </c>
      <c r="F57" s="13">
        <v>95</v>
      </c>
      <c r="G57" s="13">
        <v>32</v>
      </c>
      <c r="H57" s="13">
        <v>6</v>
      </c>
      <c r="I57" s="13">
        <v>4</v>
      </c>
      <c r="J57" s="13">
        <v>1</v>
      </c>
    </row>
    <row r="58" spans="1:15" x14ac:dyDescent="0.35">
      <c r="A58" s="73"/>
      <c r="B58" s="73"/>
      <c r="C58" s="97"/>
      <c r="D58" s="16" t="s">
        <v>213</v>
      </c>
      <c r="E58" s="17" t="s">
        <v>4</v>
      </c>
      <c r="F58" s="13">
        <v>135</v>
      </c>
      <c r="G58" s="13">
        <v>73</v>
      </c>
      <c r="H58" s="13">
        <v>12</v>
      </c>
      <c r="I58" s="13">
        <v>11</v>
      </c>
      <c r="J58" s="15">
        <v>0</v>
      </c>
      <c r="K58" s="2">
        <f>SUM(F55:F58)</f>
        <v>490</v>
      </c>
      <c r="L58" s="2">
        <f t="shared" ref="L58" si="13">SUM(G55:G58)</f>
        <v>174</v>
      </c>
      <c r="M58" s="2">
        <f t="shared" ref="M58" si="14">SUM(H55:H58)</f>
        <v>34</v>
      </c>
      <c r="N58" s="2">
        <f t="shared" ref="N58" si="15">SUM(I55:I58)</f>
        <v>35</v>
      </c>
      <c r="O58" s="2">
        <f t="shared" ref="O58" si="16">SUM(J55:J58)</f>
        <v>3</v>
      </c>
    </row>
    <row r="59" spans="1:15" x14ac:dyDescent="0.35">
      <c r="A59" s="3" t="s">
        <v>698</v>
      </c>
      <c r="B59" s="3" t="s">
        <v>281</v>
      </c>
      <c r="C59" s="131">
        <v>1233</v>
      </c>
      <c r="D59" s="16" t="s">
        <v>30</v>
      </c>
      <c r="E59" s="17" t="s">
        <v>17</v>
      </c>
      <c r="F59" s="12">
        <v>95</v>
      </c>
      <c r="G59" s="12">
        <v>44</v>
      </c>
      <c r="H59" s="12">
        <v>3</v>
      </c>
      <c r="I59" s="12">
        <v>7</v>
      </c>
      <c r="J59" s="14">
        <v>0</v>
      </c>
    </row>
    <row r="60" spans="1:15" x14ac:dyDescent="0.35">
      <c r="A60" s="79"/>
      <c r="B60" s="79"/>
      <c r="C60" s="99"/>
      <c r="D60" s="16" t="s">
        <v>30</v>
      </c>
      <c r="E60" s="17" t="s">
        <v>2</v>
      </c>
      <c r="F60" s="12">
        <v>126</v>
      </c>
      <c r="G60" s="12">
        <v>33</v>
      </c>
      <c r="H60" s="12">
        <v>11</v>
      </c>
      <c r="I60" s="12">
        <v>1</v>
      </c>
      <c r="J60" s="14">
        <v>0</v>
      </c>
    </row>
    <row r="61" spans="1:15" x14ac:dyDescent="0.35">
      <c r="A61" s="79"/>
      <c r="B61" s="79"/>
      <c r="C61" s="99"/>
      <c r="D61" s="16" t="s">
        <v>30</v>
      </c>
      <c r="E61" s="17" t="s">
        <v>3</v>
      </c>
      <c r="F61" s="12">
        <v>153</v>
      </c>
      <c r="G61" s="12">
        <v>34</v>
      </c>
      <c r="H61" s="12">
        <v>2</v>
      </c>
      <c r="I61" s="12">
        <v>5</v>
      </c>
      <c r="J61" s="14">
        <v>1</v>
      </c>
    </row>
    <row r="62" spans="1:15" x14ac:dyDescent="0.35">
      <c r="A62" s="79"/>
      <c r="B62" s="79"/>
      <c r="C62" s="99"/>
      <c r="D62" s="16" t="s">
        <v>30</v>
      </c>
      <c r="E62" s="17" t="s">
        <v>4</v>
      </c>
      <c r="F62" s="12">
        <v>195</v>
      </c>
      <c r="G62" s="12">
        <v>48</v>
      </c>
      <c r="H62" s="12">
        <v>11</v>
      </c>
      <c r="I62" s="12">
        <v>17</v>
      </c>
      <c r="J62" s="14">
        <v>1</v>
      </c>
      <c r="K62" s="2">
        <f>SUM(F59:F62)</f>
        <v>569</v>
      </c>
      <c r="L62" s="2">
        <f t="shared" ref="L62" si="17">SUM(G59:G62)</f>
        <v>159</v>
      </c>
      <c r="M62" s="2">
        <f t="shared" ref="M62" si="18">SUM(H59:H62)</f>
        <v>27</v>
      </c>
      <c r="N62" s="2">
        <f t="shared" ref="N62" si="19">SUM(I59:I62)</f>
        <v>30</v>
      </c>
      <c r="O62" s="2">
        <f t="shared" ref="O62" si="20">SUM(J59:J62)</f>
        <v>2</v>
      </c>
    </row>
    <row r="63" spans="1:15" x14ac:dyDescent="0.35">
      <c r="A63" s="80"/>
      <c r="B63" s="80" t="s">
        <v>715</v>
      </c>
      <c r="C63" s="105">
        <f>SUM(C5:C59)</f>
        <v>13531</v>
      </c>
      <c r="D63" s="336" t="s">
        <v>229</v>
      </c>
      <c r="E63" s="337"/>
      <c r="F63" s="59">
        <f>SUM(F5:F62)</f>
        <v>5508</v>
      </c>
      <c r="G63" s="59">
        <f>SUM(G5:G62)</f>
        <v>2204</v>
      </c>
      <c r="H63" s="59">
        <f>SUM(H5:H62)</f>
        <v>328</v>
      </c>
      <c r="I63" s="59">
        <f>SUM(I5:I62)</f>
        <v>302</v>
      </c>
      <c r="J63" s="59">
        <f>SUM(J5:J62)</f>
        <v>27</v>
      </c>
    </row>
    <row r="64" spans="1:15" x14ac:dyDescent="0.35">
      <c r="A64" s="338" t="s">
        <v>749</v>
      </c>
      <c r="B64" s="338"/>
      <c r="C64" s="105">
        <f>SUM(C63,F63,G63,H63,I63,J63)</f>
        <v>21900</v>
      </c>
    </row>
  </sheetData>
  <mergeCells count="7">
    <mergeCell ref="A64:B64"/>
    <mergeCell ref="D63:E63"/>
    <mergeCell ref="D1:J1"/>
    <mergeCell ref="D2:J2"/>
    <mergeCell ref="F3:J3"/>
    <mergeCell ref="A1:C1"/>
    <mergeCell ref="A2:C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workbookViewId="0">
      <selection sqref="A1:C1"/>
    </sheetView>
  </sheetViews>
  <sheetFormatPr defaultRowHeight="21" x14ac:dyDescent="0.35"/>
  <cols>
    <col min="1" max="1" width="15.42578125" style="2" customWidth="1"/>
    <col min="2" max="2" width="17.28515625" style="2" customWidth="1"/>
    <col min="3" max="3" width="22.42578125" style="94" customWidth="1"/>
    <col min="4" max="4" width="13.140625" customWidth="1"/>
    <col min="5" max="5" width="10.85546875" style="11" customWidth="1"/>
    <col min="6" max="6" width="13.7109375" style="11" customWidth="1"/>
    <col min="7" max="7" width="12.85546875" style="11" customWidth="1"/>
    <col min="8" max="8" width="13.28515625" style="11" customWidth="1"/>
    <col min="9" max="9" width="15.85546875" style="11" customWidth="1"/>
    <col min="10" max="10" width="15" style="11" customWidth="1"/>
  </cols>
  <sheetData>
    <row r="1" spans="1:15" ht="18.75" customHeight="1" x14ac:dyDescent="0.35">
      <c r="A1" s="334" t="s">
        <v>750</v>
      </c>
      <c r="B1" s="334"/>
      <c r="C1" s="334"/>
      <c r="D1" s="349" t="s">
        <v>228</v>
      </c>
      <c r="E1" s="350"/>
      <c r="F1" s="350"/>
      <c r="G1" s="350"/>
      <c r="H1" s="350"/>
      <c r="I1" s="350"/>
      <c r="J1" s="350"/>
    </row>
    <row r="2" spans="1:15" ht="18.75" customHeight="1" x14ac:dyDescent="0.35">
      <c r="A2" s="334" t="s">
        <v>861</v>
      </c>
      <c r="B2" s="334"/>
      <c r="C2" s="334"/>
      <c r="D2" s="351" t="s">
        <v>862</v>
      </c>
      <c r="E2" s="349"/>
      <c r="F2" s="349"/>
      <c r="G2" s="349"/>
      <c r="H2" s="349"/>
      <c r="I2" s="349"/>
      <c r="J2" s="349"/>
    </row>
    <row r="3" spans="1:15" ht="18.75" customHeight="1" x14ac:dyDescent="0.35">
      <c r="A3" s="90"/>
      <c r="B3" s="90"/>
      <c r="C3" s="109"/>
      <c r="D3" s="42"/>
      <c r="E3" s="42"/>
      <c r="F3" s="335" t="s">
        <v>716</v>
      </c>
      <c r="G3" s="335"/>
      <c r="H3" s="335"/>
      <c r="I3" s="335"/>
      <c r="J3" s="335"/>
    </row>
    <row r="4" spans="1:15" x14ac:dyDescent="0.35">
      <c r="A4" s="107" t="s">
        <v>714</v>
      </c>
      <c r="B4" s="107" t="s">
        <v>254</v>
      </c>
      <c r="C4" s="86" t="s">
        <v>715</v>
      </c>
      <c r="D4" s="18" t="s">
        <v>223</v>
      </c>
      <c r="E4" s="19" t="s">
        <v>222</v>
      </c>
      <c r="F4" s="19" t="s">
        <v>218</v>
      </c>
      <c r="G4" s="19" t="s">
        <v>219</v>
      </c>
      <c r="H4" s="19" t="s">
        <v>225</v>
      </c>
      <c r="I4" s="19" t="s">
        <v>226</v>
      </c>
      <c r="J4" s="19" t="s">
        <v>227</v>
      </c>
    </row>
    <row r="5" spans="1:15" x14ac:dyDescent="0.35">
      <c r="A5" s="3" t="s">
        <v>701</v>
      </c>
      <c r="B5" s="3" t="s">
        <v>702</v>
      </c>
      <c r="C5" s="131">
        <v>1159</v>
      </c>
      <c r="D5" s="16" t="s">
        <v>214</v>
      </c>
      <c r="E5" s="17" t="s">
        <v>17</v>
      </c>
      <c r="F5" s="12">
        <v>136</v>
      </c>
      <c r="G5" s="12">
        <v>125</v>
      </c>
      <c r="H5" s="12">
        <v>26</v>
      </c>
      <c r="I5" s="14">
        <v>25</v>
      </c>
      <c r="J5" s="14">
        <v>1</v>
      </c>
    </row>
    <row r="6" spans="1:15" x14ac:dyDescent="0.35">
      <c r="A6" s="79"/>
      <c r="B6" s="79"/>
      <c r="C6" s="99"/>
      <c r="D6" s="16" t="s">
        <v>214</v>
      </c>
      <c r="E6" s="17" t="s">
        <v>2</v>
      </c>
      <c r="F6" s="12">
        <v>39</v>
      </c>
      <c r="G6" s="12">
        <v>26</v>
      </c>
      <c r="H6" s="12">
        <v>5</v>
      </c>
      <c r="I6" s="12">
        <v>5</v>
      </c>
      <c r="J6" s="14">
        <v>0</v>
      </c>
    </row>
    <row r="7" spans="1:15" x14ac:dyDescent="0.35">
      <c r="A7" s="79"/>
      <c r="B7" s="79"/>
      <c r="C7" s="99"/>
      <c r="D7" s="16" t="s">
        <v>214</v>
      </c>
      <c r="E7" s="17" t="s">
        <v>3</v>
      </c>
      <c r="F7" s="12">
        <v>54</v>
      </c>
      <c r="G7" s="12">
        <v>41</v>
      </c>
      <c r="H7" s="12">
        <v>12</v>
      </c>
      <c r="I7" s="12">
        <v>3</v>
      </c>
      <c r="J7" s="14">
        <v>1</v>
      </c>
    </row>
    <row r="8" spans="1:15" x14ac:dyDescent="0.35">
      <c r="A8" s="79"/>
      <c r="B8" s="79"/>
      <c r="C8" s="99"/>
      <c r="D8" s="16" t="s">
        <v>214</v>
      </c>
      <c r="E8" s="17" t="s">
        <v>4</v>
      </c>
      <c r="F8" s="12">
        <v>134</v>
      </c>
      <c r="G8" s="12">
        <v>94</v>
      </c>
      <c r="H8" s="12">
        <v>20</v>
      </c>
      <c r="I8" s="12">
        <v>10</v>
      </c>
      <c r="J8" s="14">
        <v>2</v>
      </c>
    </row>
    <row r="9" spans="1:15" x14ac:dyDescent="0.35">
      <c r="A9" s="79"/>
      <c r="B9" s="79"/>
      <c r="C9" s="99"/>
      <c r="D9" s="16" t="s">
        <v>214</v>
      </c>
      <c r="E9" s="17" t="s">
        <v>5</v>
      </c>
      <c r="F9" s="12">
        <v>53</v>
      </c>
      <c r="G9" s="12">
        <v>30</v>
      </c>
      <c r="H9" s="12">
        <v>2</v>
      </c>
      <c r="I9" s="12">
        <v>2</v>
      </c>
      <c r="J9" s="14">
        <v>1</v>
      </c>
      <c r="K9" s="2">
        <f>SUM(F5:F9)</f>
        <v>416</v>
      </c>
      <c r="L9" s="2">
        <f t="shared" ref="L9:O9" si="0">SUM(G5:G9)</f>
        <v>316</v>
      </c>
      <c r="M9" s="2">
        <f t="shared" si="0"/>
        <v>65</v>
      </c>
      <c r="N9" s="2">
        <f t="shared" si="0"/>
        <v>45</v>
      </c>
      <c r="O9" s="2">
        <f t="shared" si="0"/>
        <v>5</v>
      </c>
    </row>
    <row r="10" spans="1:15" x14ac:dyDescent="0.35">
      <c r="A10" s="6" t="s">
        <v>699</v>
      </c>
      <c r="B10" s="6" t="s">
        <v>700</v>
      </c>
      <c r="C10" s="132">
        <v>1212</v>
      </c>
      <c r="D10" s="16" t="s">
        <v>30</v>
      </c>
      <c r="E10" s="17" t="s">
        <v>17</v>
      </c>
      <c r="F10" s="13">
        <v>176</v>
      </c>
      <c r="G10" s="13">
        <v>51</v>
      </c>
      <c r="H10" s="13">
        <v>7</v>
      </c>
      <c r="I10" s="13">
        <v>6</v>
      </c>
      <c r="J10" s="13">
        <v>3</v>
      </c>
    </row>
    <row r="11" spans="1:15" x14ac:dyDescent="0.35">
      <c r="A11" s="73"/>
      <c r="B11" s="73"/>
      <c r="C11" s="97"/>
      <c r="D11" s="16" t="s">
        <v>30</v>
      </c>
      <c r="E11" s="17" t="s">
        <v>2</v>
      </c>
      <c r="F11" s="13">
        <v>61</v>
      </c>
      <c r="G11" s="13">
        <v>8</v>
      </c>
      <c r="H11" s="15">
        <v>0</v>
      </c>
      <c r="I11" s="13">
        <v>1</v>
      </c>
      <c r="J11" s="13">
        <v>1</v>
      </c>
    </row>
    <row r="12" spans="1:15" x14ac:dyDescent="0.35">
      <c r="A12" s="73"/>
      <c r="B12" s="73"/>
      <c r="C12" s="97"/>
      <c r="D12" s="16" t="s">
        <v>30</v>
      </c>
      <c r="E12" s="17" t="s">
        <v>3</v>
      </c>
      <c r="F12" s="13">
        <v>48</v>
      </c>
      <c r="G12" s="13">
        <v>4</v>
      </c>
      <c r="H12" s="15">
        <v>0</v>
      </c>
      <c r="I12" s="13">
        <v>0</v>
      </c>
      <c r="J12" s="15">
        <v>1</v>
      </c>
    </row>
    <row r="13" spans="1:15" x14ac:dyDescent="0.35">
      <c r="A13" s="73"/>
      <c r="B13" s="73"/>
      <c r="C13" s="97"/>
      <c r="D13" s="16" t="s">
        <v>30</v>
      </c>
      <c r="E13" s="17" t="s">
        <v>4</v>
      </c>
      <c r="F13" s="13">
        <v>73</v>
      </c>
      <c r="G13" s="13">
        <v>19</v>
      </c>
      <c r="H13" s="13">
        <v>1</v>
      </c>
      <c r="I13" s="13">
        <v>4</v>
      </c>
      <c r="J13" s="15">
        <v>0</v>
      </c>
    </row>
    <row r="14" spans="1:15" x14ac:dyDescent="0.35">
      <c r="A14" s="73"/>
      <c r="B14" s="73"/>
      <c r="C14" s="97"/>
      <c r="D14" s="16" t="s">
        <v>30</v>
      </c>
      <c r="E14" s="17" t="s">
        <v>5</v>
      </c>
      <c r="F14" s="13">
        <v>37</v>
      </c>
      <c r="G14" s="13">
        <v>25</v>
      </c>
      <c r="H14" s="15">
        <v>0</v>
      </c>
      <c r="I14" s="13">
        <v>5</v>
      </c>
      <c r="J14" s="15">
        <v>0</v>
      </c>
      <c r="K14" s="2">
        <f>SUM(F10:F14)</f>
        <v>395</v>
      </c>
      <c r="L14" s="2">
        <f t="shared" ref="L14" si="1">SUM(G10:G14)</f>
        <v>107</v>
      </c>
      <c r="M14" s="2">
        <f t="shared" ref="M14" si="2">SUM(H10:H14)</f>
        <v>8</v>
      </c>
      <c r="N14" s="2">
        <f t="shared" ref="N14" si="3">SUM(I10:I14)</f>
        <v>16</v>
      </c>
      <c r="O14" s="2">
        <f t="shared" ref="O14" si="4">SUM(J10:J14)</f>
        <v>5</v>
      </c>
    </row>
    <row r="15" spans="1:15" x14ac:dyDescent="0.35">
      <c r="A15" s="3" t="s">
        <v>703</v>
      </c>
      <c r="B15" s="3" t="s">
        <v>704</v>
      </c>
      <c r="C15" s="131">
        <v>1503</v>
      </c>
      <c r="D15" s="16" t="s">
        <v>215</v>
      </c>
      <c r="E15" s="17" t="s">
        <v>17</v>
      </c>
      <c r="F15" s="12">
        <v>145</v>
      </c>
      <c r="G15" s="12">
        <v>31</v>
      </c>
      <c r="H15" s="12">
        <v>5</v>
      </c>
      <c r="I15" s="12">
        <v>5</v>
      </c>
      <c r="J15" s="14">
        <v>12</v>
      </c>
    </row>
    <row r="16" spans="1:15" x14ac:dyDescent="0.35">
      <c r="A16" s="79"/>
      <c r="B16" s="79"/>
      <c r="C16" s="99"/>
      <c r="D16" s="16" t="s">
        <v>215</v>
      </c>
      <c r="E16" s="17" t="s">
        <v>2</v>
      </c>
      <c r="F16" s="12">
        <v>92</v>
      </c>
      <c r="G16" s="12">
        <v>59</v>
      </c>
      <c r="H16" s="12">
        <v>14</v>
      </c>
      <c r="I16" s="12">
        <v>7</v>
      </c>
      <c r="J16" s="12">
        <v>2</v>
      </c>
    </row>
    <row r="17" spans="1:15" x14ac:dyDescent="0.35">
      <c r="A17" s="79"/>
      <c r="B17" s="79"/>
      <c r="C17" s="99"/>
      <c r="D17" s="16" t="s">
        <v>215</v>
      </c>
      <c r="E17" s="17" t="s">
        <v>3</v>
      </c>
      <c r="F17" s="12">
        <v>31</v>
      </c>
      <c r="G17" s="12">
        <v>24</v>
      </c>
      <c r="H17" s="12">
        <v>3</v>
      </c>
      <c r="I17" s="12">
        <v>6</v>
      </c>
      <c r="J17" s="14">
        <v>1</v>
      </c>
    </row>
    <row r="18" spans="1:15" x14ac:dyDescent="0.35">
      <c r="A18" s="79"/>
      <c r="B18" s="79"/>
      <c r="C18" s="99"/>
      <c r="D18" s="16" t="s">
        <v>215</v>
      </c>
      <c r="E18" s="17" t="s">
        <v>4</v>
      </c>
      <c r="F18" s="12">
        <v>44</v>
      </c>
      <c r="G18" s="12">
        <v>21</v>
      </c>
      <c r="H18" s="12">
        <v>4</v>
      </c>
      <c r="I18" s="12">
        <v>1</v>
      </c>
      <c r="J18" s="14">
        <v>1</v>
      </c>
    </row>
    <row r="19" spans="1:15" x14ac:dyDescent="0.35">
      <c r="A19" s="79"/>
      <c r="B19" s="79"/>
      <c r="C19" s="99"/>
      <c r="D19" s="16" t="s">
        <v>215</v>
      </c>
      <c r="E19" s="17" t="s">
        <v>5</v>
      </c>
      <c r="F19" s="12">
        <v>62</v>
      </c>
      <c r="G19" s="12">
        <v>24</v>
      </c>
      <c r="H19" s="12">
        <v>0</v>
      </c>
      <c r="I19" s="12">
        <v>5</v>
      </c>
      <c r="J19" s="14">
        <v>0</v>
      </c>
    </row>
    <row r="20" spans="1:15" x14ac:dyDescent="0.35">
      <c r="A20" s="79"/>
      <c r="B20" s="79"/>
      <c r="C20" s="99"/>
      <c r="D20" s="16" t="s">
        <v>215</v>
      </c>
      <c r="E20" s="17" t="s">
        <v>6</v>
      </c>
      <c r="F20" s="12">
        <v>182</v>
      </c>
      <c r="G20" s="12">
        <v>83</v>
      </c>
      <c r="H20" s="12">
        <v>9</v>
      </c>
      <c r="I20" s="12">
        <v>11</v>
      </c>
      <c r="J20" s="14">
        <v>5</v>
      </c>
      <c r="K20" s="2">
        <f>SUM(F15:F20)</f>
        <v>556</v>
      </c>
      <c r="L20" s="2">
        <f t="shared" ref="L20:O20" si="5">SUM(G15:G20)</f>
        <v>242</v>
      </c>
      <c r="M20" s="2">
        <f t="shared" si="5"/>
        <v>35</v>
      </c>
      <c r="N20" s="2">
        <f t="shared" si="5"/>
        <v>35</v>
      </c>
      <c r="O20" s="2">
        <f t="shared" si="5"/>
        <v>21</v>
      </c>
    </row>
    <row r="21" spans="1:15" x14ac:dyDescent="0.35">
      <c r="A21" s="6" t="s">
        <v>705</v>
      </c>
      <c r="B21" s="6" t="s">
        <v>706</v>
      </c>
      <c r="C21" s="132">
        <v>789</v>
      </c>
      <c r="D21" s="16" t="s">
        <v>216</v>
      </c>
      <c r="E21" s="17" t="s">
        <v>17</v>
      </c>
      <c r="F21" s="13">
        <v>104</v>
      </c>
      <c r="G21" s="13">
        <v>20</v>
      </c>
      <c r="H21" s="13">
        <v>2</v>
      </c>
      <c r="I21" s="15">
        <v>4</v>
      </c>
      <c r="J21" s="15">
        <v>2</v>
      </c>
    </row>
    <row r="22" spans="1:15" x14ac:dyDescent="0.35">
      <c r="A22" s="73"/>
      <c r="B22" s="73"/>
      <c r="C22" s="97"/>
      <c r="D22" s="16" t="s">
        <v>216</v>
      </c>
      <c r="E22" s="17" t="s">
        <v>2</v>
      </c>
      <c r="F22" s="13">
        <v>29</v>
      </c>
      <c r="G22" s="13">
        <v>14</v>
      </c>
      <c r="H22" s="13">
        <v>4</v>
      </c>
      <c r="I22" s="13">
        <v>4</v>
      </c>
      <c r="J22" s="15">
        <v>0</v>
      </c>
    </row>
    <row r="23" spans="1:15" x14ac:dyDescent="0.35">
      <c r="A23" s="73"/>
      <c r="B23" s="73"/>
      <c r="C23" s="97"/>
      <c r="D23" s="16" t="s">
        <v>216</v>
      </c>
      <c r="E23" s="17" t="s">
        <v>3</v>
      </c>
      <c r="F23" s="13">
        <v>80</v>
      </c>
      <c r="G23" s="13">
        <v>15</v>
      </c>
      <c r="H23" s="13">
        <v>0</v>
      </c>
      <c r="I23" s="15">
        <v>1</v>
      </c>
      <c r="J23" s="15">
        <v>0</v>
      </c>
    </row>
    <row r="24" spans="1:15" x14ac:dyDescent="0.35">
      <c r="A24" s="73"/>
      <c r="B24" s="73"/>
      <c r="C24" s="97"/>
      <c r="D24" s="16" t="s">
        <v>216</v>
      </c>
      <c r="E24" s="17" t="s">
        <v>4</v>
      </c>
      <c r="F24" s="13">
        <v>52</v>
      </c>
      <c r="G24" s="13">
        <v>10</v>
      </c>
      <c r="H24" s="13">
        <v>0</v>
      </c>
      <c r="I24" s="13">
        <v>1</v>
      </c>
      <c r="J24" s="15">
        <v>0</v>
      </c>
    </row>
    <row r="25" spans="1:15" x14ac:dyDescent="0.35">
      <c r="A25" s="73"/>
      <c r="B25" s="73"/>
      <c r="C25" s="97"/>
      <c r="D25" s="16" t="s">
        <v>216</v>
      </c>
      <c r="E25" s="17" t="s">
        <v>5</v>
      </c>
      <c r="F25" s="13">
        <v>64</v>
      </c>
      <c r="G25" s="13">
        <v>28</v>
      </c>
      <c r="H25" s="15">
        <v>7</v>
      </c>
      <c r="I25" s="13">
        <v>3</v>
      </c>
      <c r="J25" s="15">
        <v>0</v>
      </c>
    </row>
    <row r="26" spans="1:15" x14ac:dyDescent="0.35">
      <c r="A26" s="73"/>
      <c r="B26" s="73"/>
      <c r="C26" s="97"/>
      <c r="D26" s="16" t="s">
        <v>216</v>
      </c>
      <c r="E26" s="17" t="s">
        <v>6</v>
      </c>
      <c r="F26" s="13">
        <v>20</v>
      </c>
      <c r="G26" s="13">
        <v>10</v>
      </c>
      <c r="H26" s="15">
        <v>0</v>
      </c>
      <c r="I26" s="13">
        <v>1</v>
      </c>
      <c r="J26" s="15">
        <v>0</v>
      </c>
      <c r="K26" s="2">
        <f>SUM(F21:F26)</f>
        <v>349</v>
      </c>
      <c r="L26" s="2">
        <f t="shared" ref="L26:O26" si="6">SUM(G21:G26)</f>
        <v>97</v>
      </c>
      <c r="M26" s="2">
        <f t="shared" si="6"/>
        <v>13</v>
      </c>
      <c r="N26" s="2">
        <f t="shared" si="6"/>
        <v>14</v>
      </c>
      <c r="O26" s="2">
        <f t="shared" si="6"/>
        <v>2</v>
      </c>
    </row>
    <row r="27" spans="1:15" x14ac:dyDescent="0.35">
      <c r="A27" s="3" t="s">
        <v>707</v>
      </c>
      <c r="B27" s="3" t="s">
        <v>708</v>
      </c>
      <c r="C27" s="131">
        <v>853</v>
      </c>
      <c r="D27" s="16" t="s">
        <v>217</v>
      </c>
      <c r="E27" s="17" t="s">
        <v>17</v>
      </c>
      <c r="F27" s="12">
        <v>57</v>
      </c>
      <c r="G27" s="12">
        <v>15</v>
      </c>
      <c r="H27" s="14">
        <v>0</v>
      </c>
      <c r="I27" s="12">
        <v>2</v>
      </c>
      <c r="J27" s="14">
        <v>0</v>
      </c>
    </row>
    <row r="28" spans="1:15" x14ac:dyDescent="0.35">
      <c r="A28" s="79"/>
      <c r="B28" s="79"/>
      <c r="C28" s="99"/>
      <c r="D28" s="16" t="s">
        <v>217</v>
      </c>
      <c r="E28" s="17" t="s">
        <v>2</v>
      </c>
      <c r="F28" s="12">
        <v>105</v>
      </c>
      <c r="G28" s="12">
        <v>25</v>
      </c>
      <c r="H28" s="14">
        <v>1</v>
      </c>
      <c r="I28" s="12">
        <v>3</v>
      </c>
      <c r="J28" s="14">
        <v>1</v>
      </c>
    </row>
    <row r="29" spans="1:15" x14ac:dyDescent="0.35">
      <c r="A29" s="79"/>
      <c r="B29" s="79"/>
      <c r="C29" s="99"/>
      <c r="D29" s="16" t="s">
        <v>217</v>
      </c>
      <c r="E29" s="17" t="s">
        <v>3</v>
      </c>
      <c r="F29" s="12">
        <v>54</v>
      </c>
      <c r="G29" s="12">
        <v>2</v>
      </c>
      <c r="H29" s="14">
        <v>0</v>
      </c>
      <c r="I29" s="12">
        <v>0</v>
      </c>
      <c r="J29" s="14">
        <v>2</v>
      </c>
    </row>
    <row r="30" spans="1:15" x14ac:dyDescent="0.35">
      <c r="A30" s="79"/>
      <c r="B30" s="79"/>
      <c r="C30" s="99"/>
      <c r="D30" s="16" t="s">
        <v>217</v>
      </c>
      <c r="E30" s="17" t="s">
        <v>4</v>
      </c>
      <c r="F30" s="12">
        <v>59</v>
      </c>
      <c r="G30" s="12">
        <v>6</v>
      </c>
      <c r="H30" s="14">
        <v>0</v>
      </c>
      <c r="I30" s="14">
        <v>1</v>
      </c>
      <c r="J30" s="14">
        <v>0</v>
      </c>
    </row>
    <row r="31" spans="1:15" x14ac:dyDescent="0.35">
      <c r="A31" s="79"/>
      <c r="B31" s="79"/>
      <c r="C31" s="99"/>
      <c r="D31" s="16" t="s">
        <v>217</v>
      </c>
      <c r="E31" s="17" t="s">
        <v>5</v>
      </c>
      <c r="F31" s="12">
        <v>121</v>
      </c>
      <c r="G31" s="12">
        <v>48</v>
      </c>
      <c r="H31" s="14">
        <v>4</v>
      </c>
      <c r="I31" s="12">
        <v>8</v>
      </c>
      <c r="J31" s="14">
        <v>0</v>
      </c>
      <c r="K31" s="2">
        <f>SUM(F27:F31)</f>
        <v>396</v>
      </c>
      <c r="L31" s="2">
        <f t="shared" ref="L31:O31" si="7">SUM(G27:G31)</f>
        <v>96</v>
      </c>
      <c r="M31" s="2">
        <f t="shared" si="7"/>
        <v>5</v>
      </c>
      <c r="N31" s="2">
        <f t="shared" si="7"/>
        <v>14</v>
      </c>
      <c r="O31" s="2">
        <f t="shared" si="7"/>
        <v>3</v>
      </c>
    </row>
    <row r="32" spans="1:15" x14ac:dyDescent="0.35">
      <c r="A32" s="338" t="s">
        <v>751</v>
      </c>
      <c r="B32" s="338"/>
      <c r="C32" s="105">
        <f>SUM(C5:C27)</f>
        <v>5516</v>
      </c>
      <c r="D32" s="18" t="s">
        <v>229</v>
      </c>
      <c r="E32" s="19"/>
      <c r="F32" s="20">
        <f>SUM(F5:F31)</f>
        <v>2112</v>
      </c>
      <c r="G32" s="20">
        <f>SUM(G5:G31)</f>
        <v>858</v>
      </c>
      <c r="H32" s="20">
        <f>SUM(H5:H31)</f>
        <v>126</v>
      </c>
      <c r="I32" s="20">
        <f>SUM(I5:I31)</f>
        <v>124</v>
      </c>
      <c r="J32" s="20">
        <f>SUM(J5:J31)</f>
        <v>36</v>
      </c>
    </row>
    <row r="33" spans="1:3" x14ac:dyDescent="0.35">
      <c r="A33" s="338" t="s">
        <v>752</v>
      </c>
      <c r="B33" s="338"/>
      <c r="C33" s="105">
        <f>SUM(C32,F32,G32,H32,I32,J32)</f>
        <v>8772</v>
      </c>
    </row>
  </sheetData>
  <mergeCells count="7">
    <mergeCell ref="A33:B33"/>
    <mergeCell ref="D1:J1"/>
    <mergeCell ref="D2:J2"/>
    <mergeCell ref="F3:J3"/>
    <mergeCell ref="A1:C1"/>
    <mergeCell ref="A2:C2"/>
    <mergeCell ref="A32:B3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0"/>
  <sheetViews>
    <sheetView workbookViewId="0">
      <selection sqref="A1:F1"/>
    </sheetView>
  </sheetViews>
  <sheetFormatPr defaultRowHeight="21" x14ac:dyDescent="0.35"/>
  <cols>
    <col min="1" max="1" width="9.140625" style="2"/>
    <col min="2" max="2" width="26.7109375" style="2" customWidth="1"/>
    <col min="3" max="3" width="19" style="2" customWidth="1"/>
    <col min="4" max="4" width="16" style="2" customWidth="1"/>
    <col min="5" max="5" width="26.7109375" style="2" customWidth="1"/>
    <col min="6" max="6" width="16" style="94" customWidth="1"/>
    <col min="7" max="16384" width="9.140625" style="2"/>
  </cols>
  <sheetData>
    <row r="1" spans="1:6" x14ac:dyDescent="0.35">
      <c r="A1" s="359" t="s">
        <v>753</v>
      </c>
      <c r="B1" s="359"/>
      <c r="C1" s="359"/>
      <c r="D1" s="359"/>
      <c r="E1" s="359"/>
      <c r="F1" s="359"/>
    </row>
    <row r="2" spans="1:6" x14ac:dyDescent="0.35">
      <c r="A2" s="359" t="s">
        <v>788</v>
      </c>
      <c r="B2" s="359"/>
      <c r="C2" s="359"/>
      <c r="D2" s="359"/>
      <c r="E2" s="359"/>
      <c r="F2" s="359"/>
    </row>
    <row r="3" spans="1:6" x14ac:dyDescent="0.35">
      <c r="A3" s="136" t="s">
        <v>251</v>
      </c>
      <c r="B3" s="136" t="s">
        <v>252</v>
      </c>
      <c r="C3" s="136" t="s">
        <v>754</v>
      </c>
      <c r="D3" s="136" t="s">
        <v>253</v>
      </c>
      <c r="E3" s="136" t="s">
        <v>254</v>
      </c>
      <c r="F3" s="137" t="s">
        <v>255</v>
      </c>
    </row>
    <row r="4" spans="1:6" x14ac:dyDescent="0.35">
      <c r="A4" s="138" t="s">
        <v>256</v>
      </c>
      <c r="B4" s="138" t="s">
        <v>257</v>
      </c>
      <c r="C4" s="139" t="s">
        <v>60</v>
      </c>
      <c r="D4" s="139" t="s">
        <v>294</v>
      </c>
      <c r="E4" s="139" t="s">
        <v>792</v>
      </c>
      <c r="F4" s="140">
        <v>3</v>
      </c>
    </row>
    <row r="5" spans="1:6" x14ac:dyDescent="0.35">
      <c r="A5" s="138" t="s">
        <v>256</v>
      </c>
      <c r="B5" s="138" t="s">
        <v>257</v>
      </c>
      <c r="C5" s="139" t="s">
        <v>60</v>
      </c>
      <c r="D5" s="139" t="s">
        <v>296</v>
      </c>
      <c r="E5" s="139" t="s">
        <v>793</v>
      </c>
      <c r="F5" s="140">
        <v>16</v>
      </c>
    </row>
    <row r="6" spans="1:6" x14ac:dyDescent="0.35">
      <c r="A6" s="138" t="s">
        <v>256</v>
      </c>
      <c r="B6" s="138" t="s">
        <v>257</v>
      </c>
      <c r="C6" s="139" t="s">
        <v>60</v>
      </c>
      <c r="D6" s="139" t="s">
        <v>298</v>
      </c>
      <c r="E6" s="139" t="s">
        <v>794</v>
      </c>
      <c r="F6" s="140">
        <v>146</v>
      </c>
    </row>
    <row r="7" spans="1:6" x14ac:dyDescent="0.35">
      <c r="A7" s="138" t="s">
        <v>256</v>
      </c>
      <c r="B7" s="138" t="s">
        <v>257</v>
      </c>
      <c r="C7" s="139" t="s">
        <v>60</v>
      </c>
      <c r="D7" s="139" t="s">
        <v>300</v>
      </c>
      <c r="E7" s="139" t="s">
        <v>795</v>
      </c>
      <c r="F7" s="140">
        <v>568</v>
      </c>
    </row>
    <row r="8" spans="1:6" x14ac:dyDescent="0.35">
      <c r="A8" s="138" t="s">
        <v>256</v>
      </c>
      <c r="B8" s="138" t="s">
        <v>257</v>
      </c>
      <c r="C8" s="139" t="s">
        <v>60</v>
      </c>
      <c r="D8" s="139" t="s">
        <v>302</v>
      </c>
      <c r="E8" s="139" t="s">
        <v>796</v>
      </c>
      <c r="F8" s="140">
        <v>52</v>
      </c>
    </row>
    <row r="9" spans="1:6" x14ac:dyDescent="0.35">
      <c r="A9" s="138"/>
      <c r="B9" s="138"/>
      <c r="C9" s="360" t="s">
        <v>755</v>
      </c>
      <c r="D9" s="360"/>
      <c r="E9" s="360"/>
      <c r="F9" s="141">
        <f>SUM(F4:F8)</f>
        <v>785</v>
      </c>
    </row>
    <row r="10" spans="1:6" x14ac:dyDescent="0.35">
      <c r="A10" s="138" t="s">
        <v>256</v>
      </c>
      <c r="B10" s="138" t="s">
        <v>257</v>
      </c>
      <c r="C10" s="142" t="s">
        <v>82</v>
      </c>
      <c r="D10" s="142" t="s">
        <v>304</v>
      </c>
      <c r="E10" s="142" t="s">
        <v>797</v>
      </c>
      <c r="F10" s="143">
        <v>288</v>
      </c>
    </row>
    <row r="11" spans="1:6" x14ac:dyDescent="0.35">
      <c r="A11" s="138" t="s">
        <v>256</v>
      </c>
      <c r="B11" s="138" t="s">
        <v>257</v>
      </c>
      <c r="C11" s="142" t="s">
        <v>82</v>
      </c>
      <c r="D11" s="142" t="s">
        <v>306</v>
      </c>
      <c r="E11" s="142" t="s">
        <v>798</v>
      </c>
      <c r="F11" s="143">
        <v>1711</v>
      </c>
    </row>
    <row r="12" spans="1:6" x14ac:dyDescent="0.35">
      <c r="A12" s="138"/>
      <c r="B12" s="138"/>
      <c r="C12" s="361" t="s">
        <v>756</v>
      </c>
      <c r="D12" s="361"/>
      <c r="E12" s="361"/>
      <c r="F12" s="144">
        <f>SUM(F10:F11)</f>
        <v>1999</v>
      </c>
    </row>
    <row r="13" spans="1:6" x14ac:dyDescent="0.35">
      <c r="A13" s="138" t="s">
        <v>256</v>
      </c>
      <c r="B13" s="138" t="s">
        <v>257</v>
      </c>
      <c r="C13" s="139" t="s">
        <v>757</v>
      </c>
      <c r="D13" s="139" t="s">
        <v>308</v>
      </c>
      <c r="E13" s="139" t="s">
        <v>799</v>
      </c>
      <c r="F13" s="140">
        <v>1818</v>
      </c>
    </row>
    <row r="14" spans="1:6" x14ac:dyDescent="0.35">
      <c r="A14" s="138" t="s">
        <v>256</v>
      </c>
      <c r="B14" s="138" t="s">
        <v>257</v>
      </c>
      <c r="C14" s="139" t="s">
        <v>757</v>
      </c>
      <c r="D14" s="139" t="s">
        <v>310</v>
      </c>
      <c r="E14" s="139" t="s">
        <v>311</v>
      </c>
      <c r="F14" s="140">
        <v>429</v>
      </c>
    </row>
    <row r="15" spans="1:6" x14ac:dyDescent="0.35">
      <c r="A15" s="138" t="s">
        <v>256</v>
      </c>
      <c r="B15" s="138" t="s">
        <v>257</v>
      </c>
      <c r="C15" s="139" t="s">
        <v>757</v>
      </c>
      <c r="D15" s="139" t="s">
        <v>312</v>
      </c>
      <c r="E15" s="139" t="s">
        <v>800</v>
      </c>
      <c r="F15" s="140">
        <v>184</v>
      </c>
    </row>
    <row r="16" spans="1:6" x14ac:dyDescent="0.35">
      <c r="A16" s="138" t="s">
        <v>256</v>
      </c>
      <c r="B16" s="138" t="s">
        <v>257</v>
      </c>
      <c r="C16" s="139" t="s">
        <v>757</v>
      </c>
      <c r="D16" s="139" t="s">
        <v>314</v>
      </c>
      <c r="E16" s="139" t="s">
        <v>801</v>
      </c>
      <c r="F16" s="140">
        <v>775</v>
      </c>
    </row>
    <row r="17" spans="1:6" x14ac:dyDescent="0.35">
      <c r="A17" s="138" t="s">
        <v>256</v>
      </c>
      <c r="B17" s="138" t="s">
        <v>257</v>
      </c>
      <c r="C17" s="139" t="s">
        <v>757</v>
      </c>
      <c r="D17" s="139" t="s">
        <v>316</v>
      </c>
      <c r="E17" s="139" t="s">
        <v>802</v>
      </c>
      <c r="F17" s="140">
        <v>902</v>
      </c>
    </row>
    <row r="18" spans="1:6" x14ac:dyDescent="0.35">
      <c r="A18" s="138" t="s">
        <v>256</v>
      </c>
      <c r="B18" s="138" t="s">
        <v>257</v>
      </c>
      <c r="C18" s="139" t="s">
        <v>757</v>
      </c>
      <c r="D18" s="139" t="s">
        <v>318</v>
      </c>
      <c r="E18" s="139" t="s">
        <v>803</v>
      </c>
      <c r="F18" s="140">
        <v>625</v>
      </c>
    </row>
    <row r="19" spans="1:6" x14ac:dyDescent="0.35">
      <c r="A19" s="138" t="s">
        <v>256</v>
      </c>
      <c r="B19" s="138" t="s">
        <v>257</v>
      </c>
      <c r="C19" s="139" t="s">
        <v>757</v>
      </c>
      <c r="D19" s="139" t="s">
        <v>320</v>
      </c>
      <c r="E19" s="139" t="s">
        <v>321</v>
      </c>
      <c r="F19" s="140">
        <v>3052</v>
      </c>
    </row>
    <row r="20" spans="1:6" x14ac:dyDescent="0.35">
      <c r="A20" s="138" t="s">
        <v>256</v>
      </c>
      <c r="B20" s="138" t="s">
        <v>257</v>
      </c>
      <c r="C20" s="139" t="s">
        <v>757</v>
      </c>
      <c r="D20" s="139" t="s">
        <v>322</v>
      </c>
      <c r="E20" s="139" t="s">
        <v>804</v>
      </c>
      <c r="F20" s="140">
        <v>87</v>
      </c>
    </row>
    <row r="21" spans="1:6" x14ac:dyDescent="0.35">
      <c r="A21" s="138" t="s">
        <v>256</v>
      </c>
      <c r="B21" s="138" t="s">
        <v>257</v>
      </c>
      <c r="C21" s="139" t="s">
        <v>757</v>
      </c>
      <c r="D21" s="139" t="s">
        <v>347</v>
      </c>
      <c r="E21" s="139" t="s">
        <v>348</v>
      </c>
      <c r="F21" s="140">
        <v>1361</v>
      </c>
    </row>
    <row r="22" spans="1:6" x14ac:dyDescent="0.35">
      <c r="A22" s="138"/>
      <c r="B22" s="138"/>
      <c r="C22" s="360" t="s">
        <v>758</v>
      </c>
      <c r="D22" s="360"/>
      <c r="E22" s="360"/>
      <c r="F22" s="145">
        <f>SUM(F13:F21)</f>
        <v>9233</v>
      </c>
    </row>
    <row r="23" spans="1:6" x14ac:dyDescent="0.35">
      <c r="A23" s="138" t="s">
        <v>256</v>
      </c>
      <c r="B23" s="138" t="s">
        <v>257</v>
      </c>
      <c r="C23" s="142" t="s">
        <v>115</v>
      </c>
      <c r="D23" s="142" t="s">
        <v>324</v>
      </c>
      <c r="E23" s="142" t="s">
        <v>805</v>
      </c>
      <c r="F23" s="143">
        <v>585</v>
      </c>
    </row>
    <row r="24" spans="1:6" x14ac:dyDescent="0.35">
      <c r="A24" s="138" t="s">
        <v>256</v>
      </c>
      <c r="B24" s="138" t="s">
        <v>257</v>
      </c>
      <c r="C24" s="142" t="s">
        <v>115</v>
      </c>
      <c r="D24" s="142" t="s">
        <v>326</v>
      </c>
      <c r="E24" s="142" t="s">
        <v>806</v>
      </c>
      <c r="F24" s="143">
        <v>1059</v>
      </c>
    </row>
    <row r="25" spans="1:6" x14ac:dyDescent="0.35">
      <c r="A25" s="138" t="s">
        <v>256</v>
      </c>
      <c r="B25" s="138" t="s">
        <v>257</v>
      </c>
      <c r="C25" s="142" t="s">
        <v>115</v>
      </c>
      <c r="D25" s="142" t="s">
        <v>328</v>
      </c>
      <c r="E25" s="142" t="s">
        <v>807</v>
      </c>
      <c r="F25" s="143">
        <v>1162</v>
      </c>
    </row>
    <row r="26" spans="1:6" x14ac:dyDescent="0.35">
      <c r="A26" s="75"/>
      <c r="B26" s="75"/>
      <c r="C26" s="362" t="s">
        <v>759</v>
      </c>
      <c r="D26" s="362"/>
      <c r="E26" s="362"/>
      <c r="F26" s="146">
        <f>SUM(F23:F25)</f>
        <v>2806</v>
      </c>
    </row>
    <row r="27" spans="1:6" x14ac:dyDescent="0.35">
      <c r="A27" s="147"/>
      <c r="B27" s="363" t="s">
        <v>760</v>
      </c>
      <c r="C27" s="363"/>
      <c r="D27" s="363"/>
      <c r="E27" s="363"/>
      <c r="F27" s="148">
        <f>SUM(F26,F22,F12,F9)</f>
        <v>14823</v>
      </c>
    </row>
    <row r="28" spans="1:6" x14ac:dyDescent="0.35">
      <c r="A28" s="136" t="s">
        <v>251</v>
      </c>
      <c r="B28" s="136" t="s">
        <v>252</v>
      </c>
      <c r="C28" s="136" t="s">
        <v>754</v>
      </c>
      <c r="D28" s="136" t="s">
        <v>253</v>
      </c>
      <c r="E28" s="136" t="s">
        <v>254</v>
      </c>
      <c r="F28" s="137" t="s">
        <v>255</v>
      </c>
    </row>
    <row r="29" spans="1:6" x14ac:dyDescent="0.35">
      <c r="A29" s="135" t="s">
        <v>349</v>
      </c>
      <c r="B29" s="135" t="s">
        <v>350</v>
      </c>
      <c r="C29" s="73" t="s">
        <v>60</v>
      </c>
      <c r="D29" s="6" t="s">
        <v>351</v>
      </c>
      <c r="E29" s="6" t="s">
        <v>808</v>
      </c>
      <c r="F29" s="132">
        <v>248</v>
      </c>
    </row>
    <row r="30" spans="1:6" x14ac:dyDescent="0.35">
      <c r="A30" s="135" t="s">
        <v>349</v>
      </c>
      <c r="B30" s="135" t="s">
        <v>350</v>
      </c>
      <c r="C30" s="73" t="s">
        <v>60</v>
      </c>
      <c r="D30" s="6" t="s">
        <v>353</v>
      </c>
      <c r="E30" s="6" t="s">
        <v>809</v>
      </c>
      <c r="F30" s="132">
        <v>443</v>
      </c>
    </row>
    <row r="31" spans="1:6" x14ac:dyDescent="0.35">
      <c r="A31" s="135" t="s">
        <v>349</v>
      </c>
      <c r="B31" s="135" t="s">
        <v>350</v>
      </c>
      <c r="C31" s="73" t="s">
        <v>60</v>
      </c>
      <c r="D31" s="6" t="s">
        <v>355</v>
      </c>
      <c r="E31" s="6" t="s">
        <v>810</v>
      </c>
      <c r="F31" s="132">
        <v>543</v>
      </c>
    </row>
    <row r="32" spans="1:6" x14ac:dyDescent="0.35">
      <c r="A32" s="135" t="s">
        <v>349</v>
      </c>
      <c r="B32" s="135" t="s">
        <v>350</v>
      </c>
      <c r="C32" s="73" t="s">
        <v>60</v>
      </c>
      <c r="D32" s="6" t="s">
        <v>296</v>
      </c>
      <c r="E32" s="6" t="s">
        <v>793</v>
      </c>
      <c r="F32" s="132">
        <v>296</v>
      </c>
    </row>
    <row r="33" spans="1:6" x14ac:dyDescent="0.35">
      <c r="A33" s="135" t="s">
        <v>349</v>
      </c>
      <c r="B33" s="135" t="s">
        <v>350</v>
      </c>
      <c r="C33" s="73" t="s">
        <v>60</v>
      </c>
      <c r="D33" s="6" t="s">
        <v>357</v>
      </c>
      <c r="E33" s="6" t="s">
        <v>811</v>
      </c>
      <c r="F33" s="132">
        <v>385</v>
      </c>
    </row>
    <row r="34" spans="1:6" x14ac:dyDescent="0.35">
      <c r="A34" s="135" t="s">
        <v>349</v>
      </c>
      <c r="B34" s="135" t="s">
        <v>350</v>
      </c>
      <c r="C34" s="73" t="s">
        <v>60</v>
      </c>
      <c r="D34" s="6" t="s">
        <v>359</v>
      </c>
      <c r="E34" s="6" t="s">
        <v>812</v>
      </c>
      <c r="F34" s="132">
        <v>577</v>
      </c>
    </row>
    <row r="35" spans="1:6" x14ac:dyDescent="0.35">
      <c r="A35" s="135" t="s">
        <v>349</v>
      </c>
      <c r="B35" s="135" t="s">
        <v>350</v>
      </c>
      <c r="C35" s="73" t="s">
        <v>60</v>
      </c>
      <c r="D35" s="6" t="s">
        <v>298</v>
      </c>
      <c r="E35" s="6" t="s">
        <v>794</v>
      </c>
      <c r="F35" s="132">
        <v>65</v>
      </c>
    </row>
    <row r="36" spans="1:6" x14ac:dyDescent="0.35">
      <c r="A36" s="135" t="s">
        <v>349</v>
      </c>
      <c r="B36" s="135" t="s">
        <v>350</v>
      </c>
      <c r="C36" s="73" t="s">
        <v>60</v>
      </c>
      <c r="D36" s="6" t="s">
        <v>300</v>
      </c>
      <c r="E36" s="6" t="s">
        <v>795</v>
      </c>
      <c r="F36" s="132">
        <v>229</v>
      </c>
    </row>
    <row r="37" spans="1:6" x14ac:dyDescent="0.35">
      <c r="A37" s="135" t="s">
        <v>349</v>
      </c>
      <c r="B37" s="135" t="s">
        <v>350</v>
      </c>
      <c r="C37" s="73" t="s">
        <v>60</v>
      </c>
      <c r="D37" s="6" t="s">
        <v>302</v>
      </c>
      <c r="E37" s="6" t="s">
        <v>796</v>
      </c>
      <c r="F37" s="132">
        <v>84</v>
      </c>
    </row>
    <row r="38" spans="1:6" x14ac:dyDescent="0.35">
      <c r="A38" s="135" t="s">
        <v>349</v>
      </c>
      <c r="B38" s="135" t="s">
        <v>350</v>
      </c>
      <c r="C38" s="73" t="s">
        <v>60</v>
      </c>
      <c r="D38" s="6" t="s">
        <v>361</v>
      </c>
      <c r="E38" s="6" t="s">
        <v>813</v>
      </c>
      <c r="F38" s="132">
        <v>151</v>
      </c>
    </row>
    <row r="39" spans="1:6" x14ac:dyDescent="0.35">
      <c r="A39" s="135" t="s">
        <v>349</v>
      </c>
      <c r="B39" s="135" t="s">
        <v>350</v>
      </c>
      <c r="C39" s="73" t="s">
        <v>60</v>
      </c>
      <c r="D39" s="6" t="s">
        <v>363</v>
      </c>
      <c r="E39" s="6" t="s">
        <v>814</v>
      </c>
      <c r="F39" s="132">
        <v>629</v>
      </c>
    </row>
    <row r="40" spans="1:6" x14ac:dyDescent="0.35">
      <c r="A40" s="135" t="s">
        <v>349</v>
      </c>
      <c r="B40" s="135" t="s">
        <v>350</v>
      </c>
      <c r="C40" s="73" t="s">
        <v>60</v>
      </c>
      <c r="D40" s="6" t="s">
        <v>365</v>
      </c>
      <c r="E40" s="6" t="s">
        <v>815</v>
      </c>
      <c r="F40" s="132">
        <v>373</v>
      </c>
    </row>
    <row r="41" spans="1:6" x14ac:dyDescent="0.35">
      <c r="A41" s="135" t="s">
        <v>349</v>
      </c>
      <c r="B41" s="135" t="s">
        <v>350</v>
      </c>
      <c r="C41" s="73" t="s">
        <v>60</v>
      </c>
      <c r="D41" s="6" t="s">
        <v>367</v>
      </c>
      <c r="E41" s="6" t="s">
        <v>816</v>
      </c>
      <c r="F41" s="132">
        <v>10</v>
      </c>
    </row>
    <row r="42" spans="1:6" x14ac:dyDescent="0.35">
      <c r="A42" s="135" t="s">
        <v>349</v>
      </c>
      <c r="B42" s="135" t="s">
        <v>350</v>
      </c>
      <c r="C42" s="73" t="s">
        <v>60</v>
      </c>
      <c r="D42" s="6" t="s">
        <v>369</v>
      </c>
      <c r="E42" s="6" t="s">
        <v>817</v>
      </c>
      <c r="F42" s="132">
        <v>1</v>
      </c>
    </row>
    <row r="43" spans="1:6" x14ac:dyDescent="0.35">
      <c r="A43" s="135" t="s">
        <v>349</v>
      </c>
      <c r="B43" s="135" t="s">
        <v>350</v>
      </c>
      <c r="C43" s="73" t="s">
        <v>60</v>
      </c>
      <c r="D43" s="6" t="s">
        <v>371</v>
      </c>
      <c r="E43" s="6" t="s">
        <v>818</v>
      </c>
      <c r="F43" s="132">
        <v>92</v>
      </c>
    </row>
    <row r="44" spans="1:6" x14ac:dyDescent="0.35">
      <c r="A44" s="135" t="s">
        <v>349</v>
      </c>
      <c r="B44" s="135" t="s">
        <v>350</v>
      </c>
      <c r="C44" s="73" t="s">
        <v>60</v>
      </c>
      <c r="D44" s="6" t="s">
        <v>372</v>
      </c>
      <c r="E44" s="6" t="s">
        <v>819</v>
      </c>
      <c r="F44" s="132">
        <v>6</v>
      </c>
    </row>
    <row r="45" spans="1:6" x14ac:dyDescent="0.35">
      <c r="A45" s="135"/>
      <c r="B45" s="135"/>
      <c r="C45" s="364" t="s">
        <v>755</v>
      </c>
      <c r="D45" s="364"/>
      <c r="E45" s="364"/>
      <c r="F45" s="149">
        <f>SUM(F29:F44)</f>
        <v>4132</v>
      </c>
    </row>
    <row r="46" spans="1:6" x14ac:dyDescent="0.35">
      <c r="A46" s="135" t="s">
        <v>349</v>
      </c>
      <c r="B46" s="135" t="s">
        <v>350</v>
      </c>
      <c r="C46" s="3" t="s">
        <v>82</v>
      </c>
      <c r="D46" s="3" t="s">
        <v>374</v>
      </c>
      <c r="E46" s="3" t="s">
        <v>820</v>
      </c>
      <c r="F46" s="131">
        <v>690</v>
      </c>
    </row>
    <row r="47" spans="1:6" x14ac:dyDescent="0.35">
      <c r="A47" s="135" t="s">
        <v>349</v>
      </c>
      <c r="B47" s="135" t="s">
        <v>350</v>
      </c>
      <c r="C47" s="3" t="s">
        <v>82</v>
      </c>
      <c r="D47" s="3" t="s">
        <v>376</v>
      </c>
      <c r="E47" s="3" t="s">
        <v>821</v>
      </c>
      <c r="F47" s="131">
        <v>1108</v>
      </c>
    </row>
    <row r="48" spans="1:6" x14ac:dyDescent="0.35">
      <c r="A48" s="135" t="s">
        <v>349</v>
      </c>
      <c r="B48" s="135" t="s">
        <v>350</v>
      </c>
      <c r="C48" s="3" t="s">
        <v>82</v>
      </c>
      <c r="D48" s="3" t="s">
        <v>378</v>
      </c>
      <c r="E48" s="3" t="s">
        <v>822</v>
      </c>
      <c r="F48" s="131">
        <v>516</v>
      </c>
    </row>
    <row r="49" spans="1:6" x14ac:dyDescent="0.35">
      <c r="A49" s="135"/>
      <c r="B49" s="135"/>
      <c r="C49" s="365" t="s">
        <v>756</v>
      </c>
      <c r="D49" s="365"/>
      <c r="E49" s="365"/>
      <c r="F49" s="150">
        <f>SUM(F46:F48)</f>
        <v>2314</v>
      </c>
    </row>
    <row r="50" spans="1:6" x14ac:dyDescent="0.35">
      <c r="A50" s="135" t="s">
        <v>349</v>
      </c>
      <c r="B50" s="135" t="s">
        <v>350</v>
      </c>
      <c r="C50" s="6" t="s">
        <v>131</v>
      </c>
      <c r="D50" s="6" t="s">
        <v>380</v>
      </c>
      <c r="E50" s="6" t="s">
        <v>823</v>
      </c>
      <c r="F50" s="132">
        <v>315</v>
      </c>
    </row>
    <row r="51" spans="1:6" x14ac:dyDescent="0.35">
      <c r="A51" s="135"/>
      <c r="B51" s="135"/>
      <c r="C51" s="366" t="s">
        <v>761</v>
      </c>
      <c r="D51" s="366"/>
      <c r="E51" s="366"/>
      <c r="F51" s="149">
        <f>SUM(F50)</f>
        <v>315</v>
      </c>
    </row>
    <row r="52" spans="1:6" x14ac:dyDescent="0.35">
      <c r="A52" s="135" t="s">
        <v>349</v>
      </c>
      <c r="B52" s="135" t="s">
        <v>350</v>
      </c>
      <c r="C52" s="3" t="s">
        <v>154</v>
      </c>
      <c r="D52" s="3" t="s">
        <v>382</v>
      </c>
      <c r="E52" s="3" t="s">
        <v>824</v>
      </c>
      <c r="F52" s="131">
        <v>288</v>
      </c>
    </row>
    <row r="53" spans="1:6" x14ac:dyDescent="0.35">
      <c r="A53" s="135" t="s">
        <v>349</v>
      </c>
      <c r="B53" s="135" t="s">
        <v>350</v>
      </c>
      <c r="C53" s="3" t="s">
        <v>154</v>
      </c>
      <c r="D53" s="3" t="s">
        <v>384</v>
      </c>
      <c r="E53" s="3" t="s">
        <v>385</v>
      </c>
      <c r="F53" s="131">
        <v>1395</v>
      </c>
    </row>
    <row r="54" spans="1:6" x14ac:dyDescent="0.35">
      <c r="A54" s="135" t="s">
        <v>349</v>
      </c>
      <c r="B54" s="135" t="s">
        <v>350</v>
      </c>
      <c r="C54" s="3" t="s">
        <v>154</v>
      </c>
      <c r="D54" s="3" t="s">
        <v>386</v>
      </c>
      <c r="E54" s="3" t="s">
        <v>387</v>
      </c>
      <c r="F54" s="131">
        <v>161</v>
      </c>
    </row>
    <row r="55" spans="1:6" x14ac:dyDescent="0.35">
      <c r="A55" s="135" t="s">
        <v>349</v>
      </c>
      <c r="B55" s="135" t="s">
        <v>350</v>
      </c>
      <c r="C55" s="3" t="s">
        <v>154</v>
      </c>
      <c r="D55" s="3" t="s">
        <v>388</v>
      </c>
      <c r="E55" s="3" t="s">
        <v>825</v>
      </c>
      <c r="F55" s="131">
        <v>976</v>
      </c>
    </row>
    <row r="56" spans="1:6" x14ac:dyDescent="0.35">
      <c r="A56" s="135" t="s">
        <v>349</v>
      </c>
      <c r="B56" s="135" t="s">
        <v>350</v>
      </c>
      <c r="C56" s="3" t="s">
        <v>154</v>
      </c>
      <c r="D56" s="3" t="s">
        <v>428</v>
      </c>
      <c r="E56" s="3" t="s">
        <v>826</v>
      </c>
      <c r="F56" s="131">
        <v>763</v>
      </c>
    </row>
    <row r="57" spans="1:6" x14ac:dyDescent="0.35">
      <c r="A57" s="135"/>
      <c r="B57" s="135"/>
      <c r="C57" s="365" t="s">
        <v>762</v>
      </c>
      <c r="D57" s="365"/>
      <c r="E57" s="365"/>
      <c r="F57" s="150">
        <f>SUM(F52:F56)</f>
        <v>3583</v>
      </c>
    </row>
    <row r="58" spans="1:6" x14ac:dyDescent="0.35">
      <c r="A58" s="135" t="s">
        <v>349</v>
      </c>
      <c r="B58" s="135" t="s">
        <v>350</v>
      </c>
      <c r="C58" s="6" t="s">
        <v>188</v>
      </c>
      <c r="D58" s="6" t="s">
        <v>422</v>
      </c>
      <c r="E58" s="6" t="s">
        <v>827</v>
      </c>
      <c r="F58" s="132">
        <v>323</v>
      </c>
    </row>
    <row r="59" spans="1:6" x14ac:dyDescent="0.35">
      <c r="A59" s="135" t="s">
        <v>349</v>
      </c>
      <c r="B59" s="135" t="s">
        <v>350</v>
      </c>
      <c r="C59" s="6" t="s">
        <v>188</v>
      </c>
      <c r="D59" s="6" t="s">
        <v>424</v>
      </c>
      <c r="E59" s="6" t="s">
        <v>425</v>
      </c>
      <c r="F59" s="132">
        <v>1027</v>
      </c>
    </row>
    <row r="60" spans="1:6" x14ac:dyDescent="0.35">
      <c r="A60" s="135" t="s">
        <v>349</v>
      </c>
      <c r="B60" s="135" t="s">
        <v>350</v>
      </c>
      <c r="C60" s="6" t="s">
        <v>188</v>
      </c>
      <c r="D60" s="6" t="s">
        <v>426</v>
      </c>
      <c r="E60" s="6" t="s">
        <v>828</v>
      </c>
      <c r="F60" s="132">
        <v>25</v>
      </c>
    </row>
    <row r="61" spans="1:6" x14ac:dyDescent="0.35">
      <c r="A61" s="80"/>
      <c r="B61" s="80"/>
      <c r="C61" s="364" t="s">
        <v>763</v>
      </c>
      <c r="D61" s="364"/>
      <c r="E61" s="364"/>
      <c r="F61" s="151">
        <f>SUM(F58:F60)</f>
        <v>1375</v>
      </c>
    </row>
    <row r="62" spans="1:6" x14ac:dyDescent="0.35">
      <c r="A62" s="135" t="s">
        <v>430</v>
      </c>
      <c r="B62" s="135" t="s">
        <v>431</v>
      </c>
      <c r="C62" s="3" t="s">
        <v>48</v>
      </c>
      <c r="D62" s="3" t="s">
        <v>455</v>
      </c>
      <c r="E62" s="3" t="s">
        <v>829</v>
      </c>
      <c r="F62" s="131">
        <v>203</v>
      </c>
    </row>
    <row r="63" spans="1:6" x14ac:dyDescent="0.35">
      <c r="A63" s="135" t="s">
        <v>430</v>
      </c>
      <c r="B63" s="135" t="s">
        <v>431</v>
      </c>
      <c r="C63" s="3" t="s">
        <v>48</v>
      </c>
      <c r="D63" s="3" t="s">
        <v>457</v>
      </c>
      <c r="E63" s="3" t="s">
        <v>830</v>
      </c>
      <c r="F63" s="131">
        <v>16</v>
      </c>
    </row>
    <row r="64" spans="1:6" x14ac:dyDescent="0.35">
      <c r="A64" s="135"/>
      <c r="B64" s="135"/>
      <c r="C64" s="367" t="s">
        <v>764</v>
      </c>
      <c r="D64" s="367"/>
      <c r="E64" s="367"/>
      <c r="F64" s="152">
        <f>SUM(F62:F63)</f>
        <v>219</v>
      </c>
    </row>
    <row r="65" spans="1:6" x14ac:dyDescent="0.35">
      <c r="A65" s="368" t="s">
        <v>765</v>
      </c>
      <c r="B65" s="368"/>
      <c r="C65" s="368"/>
      <c r="D65" s="368"/>
      <c r="E65" s="368"/>
      <c r="F65" s="153">
        <f>SUM(F64,F61,F57,F51,F49,F45)</f>
        <v>11938</v>
      </c>
    </row>
    <row r="66" spans="1:6" x14ac:dyDescent="0.35">
      <c r="A66" s="136" t="s">
        <v>251</v>
      </c>
      <c r="B66" s="136" t="s">
        <v>252</v>
      </c>
      <c r="C66" s="136" t="s">
        <v>754</v>
      </c>
      <c r="D66" s="136" t="s">
        <v>253</v>
      </c>
      <c r="E66" s="136" t="s">
        <v>254</v>
      </c>
      <c r="F66" s="137" t="s">
        <v>255</v>
      </c>
    </row>
    <row r="67" spans="1:6" x14ac:dyDescent="0.35">
      <c r="A67" s="138" t="s">
        <v>459</v>
      </c>
      <c r="B67" s="138" t="s">
        <v>460</v>
      </c>
      <c r="C67" s="142" t="s">
        <v>766</v>
      </c>
      <c r="D67" s="142" t="s">
        <v>276</v>
      </c>
      <c r="E67" s="142" t="s">
        <v>831</v>
      </c>
      <c r="F67" s="143">
        <v>14</v>
      </c>
    </row>
    <row r="68" spans="1:6" x14ac:dyDescent="0.35">
      <c r="A68" s="138" t="s">
        <v>459</v>
      </c>
      <c r="B68" s="138" t="s">
        <v>460</v>
      </c>
      <c r="C68" s="142" t="s">
        <v>766</v>
      </c>
      <c r="D68" s="142" t="s">
        <v>282</v>
      </c>
      <c r="E68" s="142" t="s">
        <v>818</v>
      </c>
      <c r="F68" s="143">
        <v>486</v>
      </c>
    </row>
    <row r="69" spans="1:6" x14ac:dyDescent="0.35">
      <c r="A69" s="138"/>
      <c r="B69" s="138"/>
      <c r="C69" s="369" t="s">
        <v>767</v>
      </c>
      <c r="D69" s="369"/>
      <c r="E69" s="369"/>
      <c r="F69" s="144">
        <f>SUM(F67:F68)</f>
        <v>500</v>
      </c>
    </row>
    <row r="70" spans="1:6" x14ac:dyDescent="0.35">
      <c r="A70" s="138" t="s">
        <v>459</v>
      </c>
      <c r="B70" s="138" t="s">
        <v>460</v>
      </c>
      <c r="C70" s="133" t="s">
        <v>37</v>
      </c>
      <c r="D70" s="133" t="s">
        <v>449</v>
      </c>
      <c r="E70" s="133" t="s">
        <v>832</v>
      </c>
      <c r="F70" s="134">
        <v>98</v>
      </c>
    </row>
    <row r="71" spans="1:6" x14ac:dyDescent="0.35">
      <c r="A71" s="138"/>
      <c r="B71" s="138"/>
      <c r="C71" s="370" t="s">
        <v>768</v>
      </c>
      <c r="D71" s="370"/>
      <c r="E71" s="370"/>
      <c r="F71" s="154">
        <f>SUM(F70)</f>
        <v>98</v>
      </c>
    </row>
    <row r="72" spans="1:6" x14ac:dyDescent="0.35">
      <c r="A72" s="138" t="s">
        <v>459</v>
      </c>
      <c r="B72" s="138" t="s">
        <v>460</v>
      </c>
      <c r="C72" s="142" t="s">
        <v>115</v>
      </c>
      <c r="D72" s="142" t="s">
        <v>324</v>
      </c>
      <c r="E72" s="142" t="s">
        <v>805</v>
      </c>
      <c r="F72" s="143">
        <v>78</v>
      </c>
    </row>
    <row r="73" spans="1:6" x14ac:dyDescent="0.35">
      <c r="A73" s="138" t="s">
        <v>459</v>
      </c>
      <c r="B73" s="138" t="s">
        <v>460</v>
      </c>
      <c r="C73" s="142" t="s">
        <v>115</v>
      </c>
      <c r="D73" s="142" t="s">
        <v>481</v>
      </c>
      <c r="E73" s="142" t="s">
        <v>833</v>
      </c>
      <c r="F73" s="143">
        <v>1304</v>
      </c>
    </row>
    <row r="74" spans="1:6" x14ac:dyDescent="0.35">
      <c r="A74" s="138" t="s">
        <v>459</v>
      </c>
      <c r="B74" s="138" t="s">
        <v>460</v>
      </c>
      <c r="C74" s="142" t="s">
        <v>115</v>
      </c>
      <c r="D74" s="142" t="s">
        <v>326</v>
      </c>
      <c r="E74" s="142" t="s">
        <v>806</v>
      </c>
      <c r="F74" s="143">
        <v>317</v>
      </c>
    </row>
    <row r="75" spans="1:6" x14ac:dyDescent="0.35">
      <c r="A75" s="138"/>
      <c r="B75" s="138"/>
      <c r="C75" s="369" t="s">
        <v>759</v>
      </c>
      <c r="D75" s="369"/>
      <c r="E75" s="369"/>
      <c r="F75" s="144">
        <f>SUM(F72:F74)</f>
        <v>1699</v>
      </c>
    </row>
    <row r="76" spans="1:6" x14ac:dyDescent="0.35">
      <c r="A76" s="138" t="s">
        <v>459</v>
      </c>
      <c r="B76" s="138" t="s">
        <v>460</v>
      </c>
      <c r="C76" s="133" t="s">
        <v>199</v>
      </c>
      <c r="D76" s="133" t="s">
        <v>483</v>
      </c>
      <c r="E76" s="133" t="s">
        <v>834</v>
      </c>
      <c r="F76" s="134">
        <v>4</v>
      </c>
    </row>
    <row r="77" spans="1:6" x14ac:dyDescent="0.35">
      <c r="A77" s="138" t="s">
        <v>459</v>
      </c>
      <c r="B77" s="138" t="s">
        <v>460</v>
      </c>
      <c r="C77" s="133" t="s">
        <v>199</v>
      </c>
      <c r="D77" s="133" t="s">
        <v>485</v>
      </c>
      <c r="E77" s="133" t="s">
        <v>486</v>
      </c>
      <c r="F77" s="134">
        <v>202</v>
      </c>
    </row>
    <row r="78" spans="1:6" x14ac:dyDescent="0.35">
      <c r="A78" s="138"/>
      <c r="B78" s="138"/>
      <c r="C78" s="371" t="s">
        <v>769</v>
      </c>
      <c r="D78" s="371"/>
      <c r="E78" s="371"/>
      <c r="F78" s="134">
        <f>SUM(F76:F77)</f>
        <v>206</v>
      </c>
    </row>
    <row r="79" spans="1:6" x14ac:dyDescent="0.35">
      <c r="A79" s="155"/>
      <c r="B79" s="372" t="s">
        <v>770</v>
      </c>
      <c r="C79" s="372"/>
      <c r="D79" s="372"/>
      <c r="E79" s="372"/>
      <c r="F79" s="148">
        <f>SUM(F78,F75,F71,F69)</f>
        <v>2503</v>
      </c>
    </row>
    <row r="80" spans="1:6" x14ac:dyDescent="0.35">
      <c r="A80" s="136" t="s">
        <v>251</v>
      </c>
      <c r="B80" s="136" t="s">
        <v>252</v>
      </c>
      <c r="C80" s="136" t="s">
        <v>754</v>
      </c>
      <c r="D80" s="136" t="s">
        <v>253</v>
      </c>
      <c r="E80" s="136" t="s">
        <v>254</v>
      </c>
      <c r="F80" s="137" t="s">
        <v>255</v>
      </c>
    </row>
    <row r="81" spans="1:6" x14ac:dyDescent="0.35">
      <c r="A81" s="135" t="s">
        <v>487</v>
      </c>
      <c r="B81" s="135" t="s">
        <v>488</v>
      </c>
      <c r="C81" s="6" t="s">
        <v>82</v>
      </c>
      <c r="D81" s="6" t="s">
        <v>374</v>
      </c>
      <c r="E81" s="6" t="s">
        <v>820</v>
      </c>
      <c r="F81" s="132">
        <v>2</v>
      </c>
    </row>
    <row r="82" spans="1:6" x14ac:dyDescent="0.35">
      <c r="A82" s="135"/>
      <c r="B82" s="135"/>
      <c r="C82" s="366" t="s">
        <v>756</v>
      </c>
      <c r="D82" s="366"/>
      <c r="E82" s="366"/>
      <c r="F82" s="149">
        <f>SUM(F81:F81)</f>
        <v>2</v>
      </c>
    </row>
    <row r="83" spans="1:6" x14ac:dyDescent="0.35">
      <c r="A83" s="135" t="s">
        <v>487</v>
      </c>
      <c r="B83" s="135" t="s">
        <v>488</v>
      </c>
      <c r="C83" s="3" t="s">
        <v>154</v>
      </c>
      <c r="D83" s="3" t="s">
        <v>386</v>
      </c>
      <c r="E83" s="3" t="s">
        <v>387</v>
      </c>
      <c r="F83" s="131">
        <v>1</v>
      </c>
    </row>
    <row r="84" spans="1:6" x14ac:dyDescent="0.35">
      <c r="A84" s="135"/>
      <c r="B84" s="135"/>
      <c r="C84" s="365" t="s">
        <v>762</v>
      </c>
      <c r="D84" s="365"/>
      <c r="E84" s="365"/>
      <c r="F84" s="150">
        <f>SUM(F83)</f>
        <v>1</v>
      </c>
    </row>
    <row r="85" spans="1:6" x14ac:dyDescent="0.35">
      <c r="A85" s="156"/>
      <c r="B85" s="368" t="s">
        <v>771</v>
      </c>
      <c r="C85" s="368"/>
      <c r="D85" s="368"/>
      <c r="E85" s="368"/>
      <c r="F85" s="153">
        <f>SUM(F84,F82)</f>
        <v>3</v>
      </c>
    </row>
    <row r="86" spans="1:6" x14ac:dyDescent="0.35">
      <c r="A86" s="136" t="s">
        <v>251</v>
      </c>
      <c r="B86" s="136" t="s">
        <v>252</v>
      </c>
      <c r="C86" s="136" t="s">
        <v>754</v>
      </c>
      <c r="D86" s="136" t="s">
        <v>253</v>
      </c>
      <c r="E86" s="136" t="s">
        <v>254</v>
      </c>
      <c r="F86" s="137" t="s">
        <v>255</v>
      </c>
    </row>
    <row r="87" spans="1:6" x14ac:dyDescent="0.35">
      <c r="A87" s="138" t="s">
        <v>501</v>
      </c>
      <c r="B87" s="138" t="s">
        <v>502</v>
      </c>
      <c r="C87" s="139" t="s">
        <v>766</v>
      </c>
      <c r="D87" s="139" t="s">
        <v>290</v>
      </c>
      <c r="E87" s="139" t="s">
        <v>835</v>
      </c>
      <c r="F87" s="140">
        <v>3</v>
      </c>
    </row>
    <row r="88" spans="1:6" x14ac:dyDescent="0.35">
      <c r="A88" s="138"/>
      <c r="B88" s="138"/>
      <c r="C88" s="373" t="s">
        <v>767</v>
      </c>
      <c r="D88" s="373"/>
      <c r="E88" s="373"/>
      <c r="F88" s="157">
        <f>SUM(F87)</f>
        <v>3</v>
      </c>
    </row>
    <row r="89" spans="1:6" x14ac:dyDescent="0.35">
      <c r="A89" s="155"/>
      <c r="B89" s="372" t="s">
        <v>772</v>
      </c>
      <c r="C89" s="372"/>
      <c r="D89" s="372"/>
      <c r="E89" s="372"/>
      <c r="F89" s="148">
        <f>SUM(F88)</f>
        <v>3</v>
      </c>
    </row>
    <row r="90" spans="1:6" x14ac:dyDescent="0.35">
      <c r="A90" s="136" t="s">
        <v>251</v>
      </c>
      <c r="B90" s="136" t="s">
        <v>252</v>
      </c>
      <c r="C90" s="136" t="s">
        <v>754</v>
      </c>
      <c r="D90" s="136" t="s">
        <v>253</v>
      </c>
      <c r="E90" s="136" t="s">
        <v>254</v>
      </c>
      <c r="F90" s="137" t="s">
        <v>255</v>
      </c>
    </row>
    <row r="91" spans="1:6" x14ac:dyDescent="0.35">
      <c r="A91" s="135" t="s">
        <v>523</v>
      </c>
      <c r="B91" s="135" t="s">
        <v>524</v>
      </c>
      <c r="C91" s="3" t="s">
        <v>60</v>
      </c>
      <c r="D91" s="3" t="s">
        <v>489</v>
      </c>
      <c r="E91" s="3" t="s">
        <v>836</v>
      </c>
      <c r="F91" s="131">
        <v>85</v>
      </c>
    </row>
    <row r="92" spans="1:6" x14ac:dyDescent="0.35">
      <c r="A92" s="135" t="s">
        <v>523</v>
      </c>
      <c r="B92" s="135" t="s">
        <v>524</v>
      </c>
      <c r="C92" s="3" t="s">
        <v>60</v>
      </c>
      <c r="D92" s="3" t="s">
        <v>491</v>
      </c>
      <c r="E92" s="3" t="s">
        <v>837</v>
      </c>
      <c r="F92" s="131">
        <v>796</v>
      </c>
    </row>
    <row r="93" spans="1:6" x14ac:dyDescent="0.35">
      <c r="A93" s="135" t="s">
        <v>523</v>
      </c>
      <c r="B93" s="135" t="s">
        <v>524</v>
      </c>
      <c r="C93" s="3" t="s">
        <v>60</v>
      </c>
      <c r="D93" s="3" t="s">
        <v>493</v>
      </c>
      <c r="E93" s="3" t="s">
        <v>838</v>
      </c>
      <c r="F93" s="131">
        <v>933</v>
      </c>
    </row>
    <row r="94" spans="1:6" x14ac:dyDescent="0.35">
      <c r="A94" s="135" t="s">
        <v>523</v>
      </c>
      <c r="B94" s="135" t="s">
        <v>524</v>
      </c>
      <c r="C94" s="3" t="s">
        <v>60</v>
      </c>
      <c r="D94" s="3" t="s">
        <v>495</v>
      </c>
      <c r="E94" s="3" t="s">
        <v>496</v>
      </c>
      <c r="F94" s="131">
        <v>936</v>
      </c>
    </row>
    <row r="95" spans="1:6" x14ac:dyDescent="0.35">
      <c r="A95" s="135" t="s">
        <v>523</v>
      </c>
      <c r="B95" s="135" t="s">
        <v>524</v>
      </c>
      <c r="C95" s="79" t="s">
        <v>60</v>
      </c>
      <c r="D95" s="3" t="s">
        <v>497</v>
      </c>
      <c r="E95" s="3" t="s">
        <v>839</v>
      </c>
      <c r="F95" s="131">
        <v>492</v>
      </c>
    </row>
    <row r="96" spans="1:6" x14ac:dyDescent="0.35">
      <c r="A96" s="135" t="s">
        <v>523</v>
      </c>
      <c r="B96" s="135" t="s">
        <v>524</v>
      </c>
      <c r="C96" s="3" t="s">
        <v>60</v>
      </c>
      <c r="D96" s="3" t="s">
        <v>499</v>
      </c>
      <c r="E96" s="3" t="s">
        <v>840</v>
      </c>
      <c r="F96" s="131">
        <v>414</v>
      </c>
    </row>
    <row r="97" spans="1:6" x14ac:dyDescent="0.35">
      <c r="A97" s="135"/>
      <c r="B97" s="135"/>
      <c r="C97" s="365" t="s">
        <v>755</v>
      </c>
      <c r="D97" s="365"/>
      <c r="E97" s="365"/>
      <c r="F97" s="150">
        <f>SUM(F91:F96)</f>
        <v>3656</v>
      </c>
    </row>
    <row r="98" spans="1:6" x14ac:dyDescent="0.35">
      <c r="A98" s="135" t="s">
        <v>523</v>
      </c>
      <c r="B98" s="135" t="s">
        <v>524</v>
      </c>
      <c r="C98" s="6" t="s">
        <v>163</v>
      </c>
      <c r="D98" s="6" t="s">
        <v>545</v>
      </c>
      <c r="E98" s="6" t="s">
        <v>841</v>
      </c>
      <c r="F98" s="132">
        <v>1940</v>
      </c>
    </row>
    <row r="99" spans="1:6" x14ac:dyDescent="0.35">
      <c r="A99" s="135" t="s">
        <v>523</v>
      </c>
      <c r="B99" s="135" t="s">
        <v>524</v>
      </c>
      <c r="C99" s="6" t="s">
        <v>163</v>
      </c>
      <c r="D99" s="6" t="s">
        <v>547</v>
      </c>
      <c r="E99" s="6" t="s">
        <v>842</v>
      </c>
      <c r="F99" s="132">
        <v>307</v>
      </c>
    </row>
    <row r="100" spans="1:6" x14ac:dyDescent="0.35">
      <c r="A100" s="135"/>
      <c r="B100" s="135"/>
      <c r="C100" s="374" t="s">
        <v>773</v>
      </c>
      <c r="D100" s="374"/>
      <c r="E100" s="374"/>
      <c r="F100" s="158">
        <f>SUM(F98:F99)</f>
        <v>2247</v>
      </c>
    </row>
    <row r="101" spans="1:6" x14ac:dyDescent="0.35">
      <c r="A101" s="156"/>
      <c r="B101" s="368" t="s">
        <v>774</v>
      </c>
      <c r="C101" s="368"/>
      <c r="D101" s="368"/>
      <c r="E101" s="368"/>
      <c r="F101" s="153">
        <f>SUM(F100,F97)</f>
        <v>5903</v>
      </c>
    </row>
    <row r="102" spans="1:6" x14ac:dyDescent="0.35">
      <c r="A102" s="136" t="s">
        <v>251</v>
      </c>
      <c r="B102" s="136" t="s">
        <v>252</v>
      </c>
      <c r="C102" s="136" t="s">
        <v>754</v>
      </c>
      <c r="D102" s="136" t="s">
        <v>253</v>
      </c>
      <c r="E102" s="136" t="s">
        <v>254</v>
      </c>
      <c r="F102" s="137" t="s">
        <v>255</v>
      </c>
    </row>
    <row r="103" spans="1:6" x14ac:dyDescent="0.35">
      <c r="A103" s="138" t="s">
        <v>549</v>
      </c>
      <c r="B103" s="138" t="s">
        <v>550</v>
      </c>
      <c r="C103" s="159" t="s">
        <v>766</v>
      </c>
      <c r="D103" s="159" t="s">
        <v>280</v>
      </c>
      <c r="E103" s="159" t="s">
        <v>843</v>
      </c>
      <c r="F103" s="160">
        <v>3</v>
      </c>
    </row>
    <row r="104" spans="1:6" x14ac:dyDescent="0.35">
      <c r="A104" s="138"/>
      <c r="B104" s="138"/>
      <c r="C104" s="369" t="s">
        <v>767</v>
      </c>
      <c r="D104" s="369"/>
      <c r="E104" s="369"/>
      <c r="F104" s="144">
        <f>SUM(F103)</f>
        <v>3</v>
      </c>
    </row>
    <row r="105" spans="1:6" x14ac:dyDescent="0.35">
      <c r="A105" s="138" t="s">
        <v>549</v>
      </c>
      <c r="B105" s="138" t="s">
        <v>550</v>
      </c>
      <c r="C105" s="133" t="s">
        <v>48</v>
      </c>
      <c r="D105" s="133" t="s">
        <v>467</v>
      </c>
      <c r="E105" s="133" t="s">
        <v>844</v>
      </c>
      <c r="F105" s="134">
        <v>20</v>
      </c>
    </row>
    <row r="106" spans="1:6" x14ac:dyDescent="0.35">
      <c r="A106" s="138" t="s">
        <v>549</v>
      </c>
      <c r="B106" s="138" t="s">
        <v>550</v>
      </c>
      <c r="C106" s="133" t="s">
        <v>48</v>
      </c>
      <c r="D106" s="133" t="s">
        <v>469</v>
      </c>
      <c r="E106" s="133" t="s">
        <v>845</v>
      </c>
      <c r="F106" s="134">
        <v>42</v>
      </c>
    </row>
    <row r="107" spans="1:6" x14ac:dyDescent="0.35">
      <c r="A107" s="138" t="s">
        <v>549</v>
      </c>
      <c r="B107" s="138" t="s">
        <v>550</v>
      </c>
      <c r="C107" s="133" t="s">
        <v>48</v>
      </c>
      <c r="D107" s="133" t="s">
        <v>471</v>
      </c>
      <c r="E107" s="133" t="s">
        <v>846</v>
      </c>
      <c r="F107" s="134">
        <v>68</v>
      </c>
    </row>
    <row r="108" spans="1:6" x14ac:dyDescent="0.35">
      <c r="A108" s="138"/>
      <c r="B108" s="138"/>
      <c r="C108" s="375" t="s">
        <v>764</v>
      </c>
      <c r="D108" s="375"/>
      <c r="E108" s="375"/>
      <c r="F108" s="161">
        <f>SUM(F105:F107)</f>
        <v>130</v>
      </c>
    </row>
    <row r="109" spans="1:6" x14ac:dyDescent="0.35">
      <c r="A109" s="155"/>
      <c r="B109" s="372" t="s">
        <v>775</v>
      </c>
      <c r="C109" s="372"/>
      <c r="D109" s="372"/>
      <c r="E109" s="372"/>
      <c r="F109" s="148">
        <f>SUM(F108,F104)</f>
        <v>133</v>
      </c>
    </row>
    <row r="110" spans="1:6" x14ac:dyDescent="0.35">
      <c r="A110" s="136" t="s">
        <v>251</v>
      </c>
      <c r="B110" s="136" t="s">
        <v>252</v>
      </c>
      <c r="C110" s="136" t="s">
        <v>754</v>
      </c>
      <c r="D110" s="136" t="s">
        <v>253</v>
      </c>
      <c r="E110" s="136" t="s">
        <v>254</v>
      </c>
      <c r="F110" s="137" t="s">
        <v>255</v>
      </c>
    </row>
    <row r="111" spans="1:6" x14ac:dyDescent="0.35">
      <c r="A111" s="135" t="s">
        <v>603</v>
      </c>
      <c r="B111" s="135" t="s">
        <v>604</v>
      </c>
      <c r="C111" s="6" t="s">
        <v>37</v>
      </c>
      <c r="D111" s="6" t="s">
        <v>451</v>
      </c>
      <c r="E111" s="6" t="s">
        <v>847</v>
      </c>
      <c r="F111" s="132">
        <v>75</v>
      </c>
    </row>
    <row r="112" spans="1:6" x14ac:dyDescent="0.35">
      <c r="A112" s="135"/>
      <c r="B112" s="135"/>
      <c r="C112" s="366" t="s">
        <v>768</v>
      </c>
      <c r="D112" s="366"/>
      <c r="E112" s="366"/>
      <c r="F112" s="149">
        <f>SUM(F111)</f>
        <v>75</v>
      </c>
    </row>
    <row r="113" spans="1:6" x14ac:dyDescent="0.35">
      <c r="A113" s="135" t="s">
        <v>603</v>
      </c>
      <c r="B113" s="135" t="s">
        <v>604</v>
      </c>
      <c r="C113" s="3" t="s">
        <v>48</v>
      </c>
      <c r="D113" s="3" t="s">
        <v>465</v>
      </c>
      <c r="E113" s="3" t="s">
        <v>848</v>
      </c>
      <c r="F113" s="131">
        <v>165</v>
      </c>
    </row>
    <row r="114" spans="1:6" x14ac:dyDescent="0.35">
      <c r="A114" s="135" t="s">
        <v>603</v>
      </c>
      <c r="B114" s="135" t="s">
        <v>604</v>
      </c>
      <c r="C114" s="3" t="s">
        <v>48</v>
      </c>
      <c r="D114" s="3" t="s">
        <v>475</v>
      </c>
      <c r="E114" s="3" t="s">
        <v>849</v>
      </c>
      <c r="F114" s="131">
        <v>8</v>
      </c>
    </row>
    <row r="115" spans="1:6" x14ac:dyDescent="0.35">
      <c r="A115" s="135" t="s">
        <v>603</v>
      </c>
      <c r="B115" s="135" t="s">
        <v>604</v>
      </c>
      <c r="C115" s="3" t="s">
        <v>48</v>
      </c>
      <c r="D115" s="3" t="s">
        <v>477</v>
      </c>
      <c r="E115" s="3" t="s">
        <v>850</v>
      </c>
      <c r="F115" s="131">
        <v>25</v>
      </c>
    </row>
    <row r="116" spans="1:6" x14ac:dyDescent="0.35">
      <c r="A116" s="135"/>
      <c r="B116" s="135"/>
      <c r="C116" s="365" t="s">
        <v>764</v>
      </c>
      <c r="D116" s="365"/>
      <c r="E116" s="365"/>
      <c r="F116" s="150">
        <f>SUM(F113:F115)</f>
        <v>198</v>
      </c>
    </row>
    <row r="117" spans="1:6" x14ac:dyDescent="0.35">
      <c r="A117" s="135" t="s">
        <v>603</v>
      </c>
      <c r="B117" s="135" t="s">
        <v>604</v>
      </c>
      <c r="C117" s="6" t="s">
        <v>199</v>
      </c>
      <c r="D117" s="6" t="s">
        <v>619</v>
      </c>
      <c r="E117" s="6" t="s">
        <v>851</v>
      </c>
      <c r="F117" s="132">
        <v>894</v>
      </c>
    </row>
    <row r="118" spans="1:6" x14ac:dyDescent="0.35">
      <c r="A118" s="135" t="s">
        <v>603</v>
      </c>
      <c r="B118" s="135" t="s">
        <v>604</v>
      </c>
      <c r="C118" s="6" t="s">
        <v>199</v>
      </c>
      <c r="D118" s="6" t="s">
        <v>621</v>
      </c>
      <c r="E118" s="6" t="s">
        <v>852</v>
      </c>
      <c r="F118" s="132">
        <v>17</v>
      </c>
    </row>
    <row r="119" spans="1:6" x14ac:dyDescent="0.35">
      <c r="A119" s="135" t="s">
        <v>603</v>
      </c>
      <c r="B119" s="135" t="s">
        <v>604</v>
      </c>
      <c r="C119" s="6" t="s">
        <v>199</v>
      </c>
      <c r="D119" s="6" t="s">
        <v>623</v>
      </c>
      <c r="E119" s="6" t="s">
        <v>853</v>
      </c>
      <c r="F119" s="132">
        <v>236</v>
      </c>
    </row>
    <row r="120" spans="1:6" x14ac:dyDescent="0.35">
      <c r="A120" s="135"/>
      <c r="B120" s="135"/>
      <c r="C120" s="374" t="s">
        <v>769</v>
      </c>
      <c r="D120" s="374"/>
      <c r="E120" s="374"/>
      <c r="F120" s="158">
        <f>SUM(F117:F119)</f>
        <v>1147</v>
      </c>
    </row>
    <row r="121" spans="1:6" x14ac:dyDescent="0.35">
      <c r="A121" s="156"/>
      <c r="B121" s="368" t="s">
        <v>776</v>
      </c>
      <c r="C121" s="368"/>
      <c r="D121" s="368"/>
      <c r="E121" s="368"/>
      <c r="F121" s="153">
        <f>SUM(F120,F116,F112)</f>
        <v>1420</v>
      </c>
    </row>
    <row r="122" spans="1:6" x14ac:dyDescent="0.35">
      <c r="A122" s="136" t="s">
        <v>251</v>
      </c>
      <c r="B122" s="136" t="s">
        <v>252</v>
      </c>
      <c r="C122" s="136" t="s">
        <v>754</v>
      </c>
      <c r="D122" s="136" t="s">
        <v>253</v>
      </c>
      <c r="E122" s="136" t="s">
        <v>254</v>
      </c>
      <c r="F122" s="137" t="s">
        <v>255</v>
      </c>
    </row>
    <row r="123" spans="1:6" x14ac:dyDescent="0.35">
      <c r="A123" s="138" t="s">
        <v>625</v>
      </c>
      <c r="B123" s="138" t="s">
        <v>626</v>
      </c>
      <c r="C123" s="139" t="s">
        <v>188</v>
      </c>
      <c r="D123" s="139" t="s">
        <v>633</v>
      </c>
      <c r="E123" s="139" t="s">
        <v>854</v>
      </c>
      <c r="F123" s="140">
        <v>136</v>
      </c>
    </row>
    <row r="124" spans="1:6" x14ac:dyDescent="0.35">
      <c r="A124" s="138"/>
      <c r="B124" s="138"/>
      <c r="C124" s="373" t="s">
        <v>763</v>
      </c>
      <c r="D124" s="373"/>
      <c r="E124" s="373"/>
      <c r="F124" s="157">
        <f>SUM(F123)</f>
        <v>136</v>
      </c>
    </row>
    <row r="125" spans="1:6" x14ac:dyDescent="0.35">
      <c r="A125" s="155"/>
      <c r="B125" s="372" t="s">
        <v>777</v>
      </c>
      <c r="C125" s="372"/>
      <c r="D125" s="372"/>
      <c r="E125" s="372"/>
      <c r="F125" s="148">
        <f>SUM(F124)</f>
        <v>136</v>
      </c>
    </row>
    <row r="126" spans="1:6" x14ac:dyDescent="0.35">
      <c r="A126" s="136" t="s">
        <v>251</v>
      </c>
      <c r="B126" s="136" t="s">
        <v>252</v>
      </c>
      <c r="C126" s="136" t="s">
        <v>754</v>
      </c>
      <c r="D126" s="136" t="s">
        <v>253</v>
      </c>
      <c r="E126" s="136" t="s">
        <v>254</v>
      </c>
      <c r="F126" s="137" t="s">
        <v>255</v>
      </c>
    </row>
    <row r="127" spans="1:6" x14ac:dyDescent="0.35">
      <c r="A127" s="135" t="s">
        <v>635</v>
      </c>
      <c r="B127" s="135" t="s">
        <v>636</v>
      </c>
      <c r="C127" s="6" t="s">
        <v>757</v>
      </c>
      <c r="D127" s="6" t="s">
        <v>527</v>
      </c>
      <c r="E127" s="6" t="s">
        <v>840</v>
      </c>
      <c r="F127" s="132">
        <v>47</v>
      </c>
    </row>
    <row r="128" spans="1:6" x14ac:dyDescent="0.35">
      <c r="A128" s="135" t="s">
        <v>635</v>
      </c>
      <c r="B128" s="135" t="s">
        <v>636</v>
      </c>
      <c r="C128" s="6" t="s">
        <v>757</v>
      </c>
      <c r="D128" s="6" t="s">
        <v>320</v>
      </c>
      <c r="E128" s="6" t="s">
        <v>321</v>
      </c>
      <c r="F128" s="132">
        <v>1700</v>
      </c>
    </row>
    <row r="129" spans="1:6" x14ac:dyDescent="0.35">
      <c r="A129" s="135"/>
      <c r="B129" s="135"/>
      <c r="C129" s="366" t="s">
        <v>758</v>
      </c>
      <c r="D129" s="366"/>
      <c r="E129" s="366"/>
      <c r="F129" s="149">
        <f>SUM(F127:F128)</f>
        <v>1747</v>
      </c>
    </row>
    <row r="130" spans="1:6" x14ac:dyDescent="0.35">
      <c r="A130" s="135" t="s">
        <v>635</v>
      </c>
      <c r="B130" s="135" t="s">
        <v>636</v>
      </c>
      <c r="C130" s="3" t="s">
        <v>199</v>
      </c>
      <c r="D130" s="3" t="s">
        <v>653</v>
      </c>
      <c r="E130" s="3" t="s">
        <v>855</v>
      </c>
      <c r="F130" s="131">
        <v>378</v>
      </c>
    </row>
    <row r="131" spans="1:6" x14ac:dyDescent="0.35">
      <c r="A131" s="135" t="s">
        <v>635</v>
      </c>
      <c r="B131" s="135" t="s">
        <v>636</v>
      </c>
      <c r="C131" s="3" t="s">
        <v>199</v>
      </c>
      <c r="D131" s="3" t="s">
        <v>655</v>
      </c>
      <c r="E131" s="3" t="s">
        <v>856</v>
      </c>
      <c r="F131" s="131">
        <v>90</v>
      </c>
    </row>
    <row r="132" spans="1:6" x14ac:dyDescent="0.35">
      <c r="A132" s="135" t="s">
        <v>635</v>
      </c>
      <c r="B132" s="135" t="s">
        <v>636</v>
      </c>
      <c r="C132" s="3" t="s">
        <v>199</v>
      </c>
      <c r="D132" s="3" t="s">
        <v>623</v>
      </c>
      <c r="E132" s="3" t="s">
        <v>853</v>
      </c>
      <c r="F132" s="131">
        <v>27</v>
      </c>
    </row>
    <row r="133" spans="1:6" x14ac:dyDescent="0.35">
      <c r="A133" s="135"/>
      <c r="B133" s="135"/>
      <c r="C133" s="378" t="s">
        <v>769</v>
      </c>
      <c r="D133" s="378"/>
      <c r="E133" s="378"/>
      <c r="F133" s="162">
        <f>SUM(F130:F132)</f>
        <v>495</v>
      </c>
    </row>
    <row r="134" spans="1:6" x14ac:dyDescent="0.35">
      <c r="A134" s="156"/>
      <c r="B134" s="368" t="s">
        <v>778</v>
      </c>
      <c r="C134" s="368"/>
      <c r="D134" s="368"/>
      <c r="E134" s="368"/>
      <c r="F134" s="153">
        <f>SUM(F133,F129)</f>
        <v>2242</v>
      </c>
    </row>
    <row r="135" spans="1:6" x14ac:dyDescent="0.35">
      <c r="A135" s="136" t="s">
        <v>251</v>
      </c>
      <c r="B135" s="136" t="s">
        <v>252</v>
      </c>
      <c r="C135" s="136" t="s">
        <v>754</v>
      </c>
      <c r="D135" s="136" t="s">
        <v>253</v>
      </c>
      <c r="E135" s="136" t="s">
        <v>254</v>
      </c>
      <c r="F135" s="137" t="s">
        <v>255</v>
      </c>
    </row>
    <row r="136" spans="1:6" x14ac:dyDescent="0.35">
      <c r="A136" s="138" t="s">
        <v>663</v>
      </c>
      <c r="B136" s="138" t="s">
        <v>664</v>
      </c>
      <c r="C136" s="139" t="s">
        <v>146</v>
      </c>
      <c r="D136" s="139" t="s">
        <v>615</v>
      </c>
      <c r="E136" s="139" t="s">
        <v>857</v>
      </c>
      <c r="F136" s="140">
        <v>113</v>
      </c>
    </row>
    <row r="137" spans="1:6" x14ac:dyDescent="0.35">
      <c r="A137" s="138"/>
      <c r="B137" s="138"/>
      <c r="C137" s="373" t="s">
        <v>779</v>
      </c>
      <c r="D137" s="373"/>
      <c r="E137" s="373"/>
      <c r="F137" s="157">
        <f>SUM(F136)</f>
        <v>113</v>
      </c>
    </row>
    <row r="138" spans="1:6" x14ac:dyDescent="0.35">
      <c r="A138" s="155"/>
      <c r="B138" s="372" t="s">
        <v>780</v>
      </c>
      <c r="C138" s="372"/>
      <c r="D138" s="372"/>
      <c r="E138" s="372"/>
      <c r="F138" s="148">
        <f>SUM(F137)</f>
        <v>113</v>
      </c>
    </row>
    <row r="139" spans="1:6" x14ac:dyDescent="0.35">
      <c r="A139" s="136" t="s">
        <v>251</v>
      </c>
      <c r="B139" s="136" t="s">
        <v>252</v>
      </c>
      <c r="C139" s="136" t="s">
        <v>754</v>
      </c>
      <c r="D139" s="136" t="s">
        <v>253</v>
      </c>
      <c r="E139" s="136" t="s">
        <v>254</v>
      </c>
      <c r="F139" s="137" t="s">
        <v>255</v>
      </c>
    </row>
    <row r="140" spans="1:6" x14ac:dyDescent="0.35">
      <c r="A140" s="135" t="s">
        <v>675</v>
      </c>
      <c r="B140" s="135" t="s">
        <v>676</v>
      </c>
      <c r="C140" s="3" t="s">
        <v>115</v>
      </c>
      <c r="D140" s="3" t="s">
        <v>555</v>
      </c>
      <c r="E140" s="3" t="s">
        <v>858</v>
      </c>
      <c r="F140" s="131">
        <v>179</v>
      </c>
    </row>
    <row r="141" spans="1:6" x14ac:dyDescent="0.35">
      <c r="A141" s="135" t="s">
        <v>675</v>
      </c>
      <c r="B141" s="135" t="s">
        <v>676</v>
      </c>
      <c r="C141" s="3" t="s">
        <v>115</v>
      </c>
      <c r="D141" s="3" t="s">
        <v>559</v>
      </c>
      <c r="E141" s="3" t="s">
        <v>859</v>
      </c>
      <c r="F141" s="131">
        <v>16</v>
      </c>
    </row>
    <row r="142" spans="1:6" x14ac:dyDescent="0.35">
      <c r="A142" s="135" t="s">
        <v>675</v>
      </c>
      <c r="B142" s="135" t="s">
        <v>676</v>
      </c>
      <c r="C142" s="3" t="s">
        <v>115</v>
      </c>
      <c r="D142" s="3" t="s">
        <v>570</v>
      </c>
      <c r="E142" s="3" t="s">
        <v>860</v>
      </c>
      <c r="F142" s="131">
        <v>24</v>
      </c>
    </row>
    <row r="143" spans="1:6" x14ac:dyDescent="0.35">
      <c r="A143" s="135"/>
      <c r="B143" s="135"/>
      <c r="C143" s="378" t="s">
        <v>759</v>
      </c>
      <c r="D143" s="378"/>
      <c r="E143" s="378"/>
      <c r="F143" s="162">
        <f>SUM(F140:F142)</f>
        <v>219</v>
      </c>
    </row>
    <row r="144" spans="1:6" x14ac:dyDescent="0.35">
      <c r="A144" s="156"/>
      <c r="B144" s="368" t="s">
        <v>781</v>
      </c>
      <c r="C144" s="368"/>
      <c r="D144" s="368"/>
      <c r="E144" s="368"/>
      <c r="F144" s="153">
        <f>SUM(F143)</f>
        <v>219</v>
      </c>
    </row>
    <row r="145" spans="1:6" x14ac:dyDescent="0.35">
      <c r="A145" s="136" t="s">
        <v>251</v>
      </c>
      <c r="B145" s="136" t="s">
        <v>252</v>
      </c>
      <c r="C145" s="136" t="s">
        <v>754</v>
      </c>
      <c r="D145" s="136" t="s">
        <v>253</v>
      </c>
      <c r="E145" s="136" t="s">
        <v>254</v>
      </c>
      <c r="F145" s="137" t="s">
        <v>255</v>
      </c>
    </row>
    <row r="146" spans="1:6" x14ac:dyDescent="0.35">
      <c r="A146" s="138" t="s">
        <v>699</v>
      </c>
      <c r="B146" s="138" t="s">
        <v>700</v>
      </c>
      <c r="C146" s="133" t="s">
        <v>206</v>
      </c>
      <c r="D146" s="133" t="s">
        <v>686</v>
      </c>
      <c r="E146" s="133" t="s">
        <v>791</v>
      </c>
      <c r="F146" s="134">
        <v>88</v>
      </c>
    </row>
    <row r="147" spans="1:6" x14ac:dyDescent="0.35">
      <c r="A147" s="138" t="s">
        <v>699</v>
      </c>
      <c r="B147" s="138" t="s">
        <v>700</v>
      </c>
      <c r="C147" s="133" t="s">
        <v>206</v>
      </c>
      <c r="D147" s="133" t="s">
        <v>690</v>
      </c>
      <c r="E147" s="133" t="s">
        <v>789</v>
      </c>
      <c r="F147" s="134">
        <v>61</v>
      </c>
    </row>
    <row r="148" spans="1:6" x14ac:dyDescent="0.35">
      <c r="A148" s="138" t="s">
        <v>699</v>
      </c>
      <c r="B148" s="138" t="s">
        <v>700</v>
      </c>
      <c r="C148" s="133" t="s">
        <v>206</v>
      </c>
      <c r="D148" s="133" t="s">
        <v>692</v>
      </c>
      <c r="E148" s="133" t="s">
        <v>790</v>
      </c>
      <c r="F148" s="134">
        <v>1</v>
      </c>
    </row>
    <row r="149" spans="1:6" x14ac:dyDescent="0.35">
      <c r="A149" s="75"/>
      <c r="B149" s="75"/>
      <c r="C149" s="376" t="s">
        <v>782</v>
      </c>
      <c r="D149" s="376"/>
      <c r="E149" s="376"/>
      <c r="F149" s="163">
        <f>SUM(F146:F148)</f>
        <v>150</v>
      </c>
    </row>
    <row r="150" spans="1:6" x14ac:dyDescent="0.35">
      <c r="A150" s="164"/>
      <c r="B150" s="377" t="s">
        <v>783</v>
      </c>
      <c r="C150" s="377"/>
      <c r="D150" s="377"/>
      <c r="E150" s="377"/>
      <c r="F150" s="165">
        <f>F149</f>
        <v>150</v>
      </c>
    </row>
  </sheetData>
  <mergeCells count="45">
    <mergeCell ref="B125:E125"/>
    <mergeCell ref="B144:E144"/>
    <mergeCell ref="C149:E149"/>
    <mergeCell ref="B150:E150"/>
    <mergeCell ref="C129:E129"/>
    <mergeCell ref="C133:E133"/>
    <mergeCell ref="B134:E134"/>
    <mergeCell ref="C137:E137"/>
    <mergeCell ref="B138:E138"/>
    <mergeCell ref="C143:E143"/>
    <mergeCell ref="C112:E112"/>
    <mergeCell ref="C116:E116"/>
    <mergeCell ref="C120:E120"/>
    <mergeCell ref="B121:E121"/>
    <mergeCell ref="C124:E124"/>
    <mergeCell ref="C100:E100"/>
    <mergeCell ref="B101:E101"/>
    <mergeCell ref="C104:E104"/>
    <mergeCell ref="C108:E108"/>
    <mergeCell ref="B109:E109"/>
    <mergeCell ref="C84:E84"/>
    <mergeCell ref="B85:E85"/>
    <mergeCell ref="C88:E88"/>
    <mergeCell ref="B89:E89"/>
    <mergeCell ref="C97:E97"/>
    <mergeCell ref="C71:E71"/>
    <mergeCell ref="C75:E75"/>
    <mergeCell ref="C78:E78"/>
    <mergeCell ref="B79:E79"/>
    <mergeCell ref="C82:E82"/>
    <mergeCell ref="C57:E57"/>
    <mergeCell ref="C61:E61"/>
    <mergeCell ref="C64:E64"/>
    <mergeCell ref="A65:E65"/>
    <mergeCell ref="C69:E69"/>
    <mergeCell ref="C26:E26"/>
    <mergeCell ref="B27:E27"/>
    <mergeCell ref="C45:E45"/>
    <mergeCell ref="C49:E49"/>
    <mergeCell ref="C51:E51"/>
    <mergeCell ref="A1:F1"/>
    <mergeCell ref="A2:F2"/>
    <mergeCell ref="C9:E9"/>
    <mergeCell ref="C12:E12"/>
    <mergeCell ref="C22:E2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20"/>
  <sheetViews>
    <sheetView topLeftCell="B1" workbookViewId="0">
      <selection sqref="A1:C1"/>
    </sheetView>
  </sheetViews>
  <sheetFormatPr defaultRowHeight="21" x14ac:dyDescent="0.35"/>
  <cols>
    <col min="1" max="1" width="16.42578125" style="2" customWidth="1"/>
    <col min="2" max="2" width="14.7109375" style="2" customWidth="1"/>
    <col min="3" max="3" width="21.140625" style="94" customWidth="1"/>
    <col min="4" max="4" width="37.7109375" style="94" bestFit="1" customWidth="1"/>
    <col min="5" max="16384" width="9.140625" style="2"/>
  </cols>
  <sheetData>
    <row r="1" spans="1:4" x14ac:dyDescent="0.35">
      <c r="A1" s="379" t="s">
        <v>786</v>
      </c>
      <c r="B1" s="379"/>
      <c r="C1" s="379"/>
    </row>
    <row r="2" spans="1:4" x14ac:dyDescent="0.35">
      <c r="A2" s="379" t="s">
        <v>787</v>
      </c>
      <c r="B2" s="379"/>
      <c r="C2" s="379"/>
    </row>
    <row r="3" spans="1:4" x14ac:dyDescent="0.35">
      <c r="A3" s="52" t="s">
        <v>714</v>
      </c>
      <c r="B3" s="52" t="s">
        <v>785</v>
      </c>
      <c r="C3" s="167" t="s">
        <v>715</v>
      </c>
      <c r="D3" s="224" t="s">
        <v>887</v>
      </c>
    </row>
    <row r="4" spans="1:4" x14ac:dyDescent="0.35">
      <c r="A4" s="54" t="s">
        <v>256</v>
      </c>
      <c r="B4" s="54" t="s">
        <v>766</v>
      </c>
      <c r="C4" s="220">
        <v>113729</v>
      </c>
      <c r="D4" s="223">
        <f>+อยุธยา!C162</f>
        <v>154089</v>
      </c>
    </row>
    <row r="5" spans="1:4" x14ac:dyDescent="0.35">
      <c r="A5" s="54" t="s">
        <v>349</v>
      </c>
      <c r="B5" s="54" t="s">
        <v>171</v>
      </c>
      <c r="C5" s="220">
        <v>56553</v>
      </c>
      <c r="D5" s="223">
        <f>+เสนา!C146</f>
        <v>67437</v>
      </c>
    </row>
    <row r="6" spans="1:4" x14ac:dyDescent="0.35">
      <c r="A6" s="54" t="s">
        <v>430</v>
      </c>
      <c r="B6" s="54" t="s">
        <v>37</v>
      </c>
      <c r="C6" s="220">
        <v>28258</v>
      </c>
      <c r="D6" s="223">
        <f>+ท่าเริอ!C94</f>
        <v>46577</v>
      </c>
    </row>
    <row r="7" spans="1:4" x14ac:dyDescent="0.35">
      <c r="A7" s="54" t="s">
        <v>459</v>
      </c>
      <c r="B7" s="54" t="s">
        <v>784</v>
      </c>
      <c r="C7" s="220">
        <v>24422</v>
      </c>
      <c r="D7" s="223">
        <f>+นครหลวง!C82</f>
        <v>36214</v>
      </c>
    </row>
    <row r="8" spans="1:4" x14ac:dyDescent="0.35">
      <c r="A8" s="54" t="s">
        <v>487</v>
      </c>
      <c r="B8" s="54" t="s">
        <v>60</v>
      </c>
      <c r="C8" s="220">
        <v>21278</v>
      </c>
      <c r="D8" s="223">
        <f>+บางไทร!C145</f>
        <v>47800</v>
      </c>
    </row>
    <row r="9" spans="1:4" x14ac:dyDescent="0.35">
      <c r="A9" s="54" t="s">
        <v>501</v>
      </c>
      <c r="B9" s="54" t="s">
        <v>82</v>
      </c>
      <c r="C9" s="220">
        <v>16588</v>
      </c>
      <c r="D9" s="223">
        <f>+บางบาล!C119</f>
        <v>33979</v>
      </c>
    </row>
    <row r="10" spans="1:4" x14ac:dyDescent="0.35">
      <c r="A10" s="54" t="s">
        <v>523</v>
      </c>
      <c r="B10" s="54" t="s">
        <v>757</v>
      </c>
      <c r="C10" s="220">
        <v>55630</v>
      </c>
      <c r="D10" s="223">
        <f>+บางปะอิน!C162</f>
        <v>95958</v>
      </c>
    </row>
    <row r="11" spans="1:4" x14ac:dyDescent="0.35">
      <c r="A11" s="54" t="s">
        <v>549</v>
      </c>
      <c r="B11" s="54" t="s">
        <v>115</v>
      </c>
      <c r="C11" s="220">
        <v>22165</v>
      </c>
      <c r="D11" s="223">
        <f>+บางปะหัน!C101</f>
        <v>41670</v>
      </c>
    </row>
    <row r="12" spans="1:4" x14ac:dyDescent="0.35">
      <c r="A12" s="54" t="s">
        <v>574</v>
      </c>
      <c r="B12" s="54" t="s">
        <v>131</v>
      </c>
      <c r="C12" s="220">
        <v>25111</v>
      </c>
      <c r="D12" s="223">
        <f>+ผักไห่!C138</f>
        <v>38302</v>
      </c>
    </row>
    <row r="13" spans="1:4" x14ac:dyDescent="0.35">
      <c r="A13" s="54" t="s">
        <v>603</v>
      </c>
      <c r="B13" s="54" t="s">
        <v>146</v>
      </c>
      <c r="C13" s="220">
        <v>21061</v>
      </c>
      <c r="D13" s="223">
        <f>+ภาชี!C80</f>
        <v>30884</v>
      </c>
    </row>
    <row r="14" spans="1:4" x14ac:dyDescent="0.35">
      <c r="A14" s="54" t="s">
        <v>625</v>
      </c>
      <c r="B14" s="54" t="s">
        <v>154</v>
      </c>
      <c r="C14" s="220">
        <v>23241</v>
      </c>
      <c r="D14" s="223">
        <f>+ลาดบัวหลวง!C69</f>
        <v>37381</v>
      </c>
    </row>
    <row r="15" spans="1:4" x14ac:dyDescent="0.35">
      <c r="A15" s="54" t="s">
        <v>635</v>
      </c>
      <c r="B15" s="54" t="s">
        <v>163</v>
      </c>
      <c r="C15" s="220">
        <v>41583</v>
      </c>
      <c r="D15" s="223">
        <f>+วังน้อย!C76</f>
        <v>61040</v>
      </c>
    </row>
    <row r="16" spans="1:4" x14ac:dyDescent="0.35">
      <c r="A16" s="54" t="s">
        <v>657</v>
      </c>
      <c r="B16" s="54" t="s">
        <v>188</v>
      </c>
      <c r="C16" s="220">
        <v>10638</v>
      </c>
      <c r="D16" s="223">
        <f>+บางซ้าย!C59</f>
        <v>18019</v>
      </c>
    </row>
    <row r="17" spans="1:4" x14ac:dyDescent="0.35">
      <c r="A17" s="54" t="s">
        <v>663</v>
      </c>
      <c r="B17" s="54" t="s">
        <v>199</v>
      </c>
      <c r="C17" s="220">
        <v>29836</v>
      </c>
      <c r="D17" s="223">
        <f>+อุทัย!C115</f>
        <v>41378</v>
      </c>
    </row>
    <row r="18" spans="1:4" x14ac:dyDescent="0.35">
      <c r="A18" s="54" t="s">
        <v>675</v>
      </c>
      <c r="B18" s="54" t="s">
        <v>206</v>
      </c>
      <c r="C18" s="220">
        <v>13600</v>
      </c>
      <c r="D18" s="223">
        <f>+มหาราช!C64</f>
        <v>21900</v>
      </c>
    </row>
    <row r="19" spans="1:4" x14ac:dyDescent="0.35">
      <c r="A19" s="54" t="s">
        <v>699</v>
      </c>
      <c r="B19" s="54" t="s">
        <v>214</v>
      </c>
      <c r="C19" s="220">
        <v>5666</v>
      </c>
      <c r="D19" s="223">
        <f>+บ้านแพรก!C33</f>
        <v>8772</v>
      </c>
    </row>
    <row r="20" spans="1:4" x14ac:dyDescent="0.35">
      <c r="C20" s="166">
        <f>SUM(C4:C19)</f>
        <v>509359</v>
      </c>
      <c r="D20" s="222">
        <f>SUM(D4:D19)</f>
        <v>781400</v>
      </c>
    </row>
  </sheetData>
  <mergeCells count="2">
    <mergeCell ref="A1:C1"/>
    <mergeCell ref="A2:C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W224"/>
  <sheetViews>
    <sheetView zoomScale="80" zoomScaleNormal="80" workbookViewId="0">
      <pane xSplit="3" ySplit="4" topLeftCell="E197" activePane="bottomRight" state="frozen"/>
      <selection pane="topRight" activeCell="D1" sqref="D1"/>
      <selection pane="bottomLeft" activeCell="A5" sqref="A5"/>
      <selection pane="bottomRight" activeCell="W100" sqref="W100"/>
    </sheetView>
  </sheetViews>
  <sheetFormatPr defaultRowHeight="21" x14ac:dyDescent="0.35"/>
  <cols>
    <col min="1" max="1" width="9.42578125" style="184" customWidth="1"/>
    <col min="2" max="2" width="14.7109375" style="184" customWidth="1"/>
    <col min="3" max="3" width="37.28515625" style="184" bestFit="1" customWidth="1"/>
    <col min="4" max="4" width="19.42578125" style="241" bestFit="1" customWidth="1"/>
    <col min="5" max="6" width="12.42578125" style="241" bestFit="1" customWidth="1"/>
    <col min="7" max="7" width="10.85546875" style="241" bestFit="1" customWidth="1"/>
    <col min="8" max="8" width="18.7109375" style="241" bestFit="1" customWidth="1"/>
    <col min="9" max="9" width="12" style="241" bestFit="1" customWidth="1"/>
    <col min="10" max="10" width="13.5703125" style="241" customWidth="1"/>
    <col min="11" max="11" width="10.5703125" style="188" customWidth="1"/>
    <col min="12" max="14" width="12.140625" style="242" hidden="1" customWidth="1"/>
    <col min="15" max="15" width="19" style="184" customWidth="1"/>
    <col min="16" max="16" width="18.5703125" style="175" customWidth="1"/>
    <col min="17" max="17" width="9.7109375" style="305" bestFit="1" customWidth="1"/>
    <col min="18" max="18" width="15" style="184" customWidth="1"/>
    <col min="19" max="20" width="10.7109375" style="318" bestFit="1" customWidth="1"/>
    <col min="21" max="21" width="10.28515625" style="318" bestFit="1" customWidth="1"/>
    <col min="22" max="22" width="14.140625" style="321" bestFit="1" customWidth="1"/>
    <col min="23" max="23" width="14.140625" style="184" bestFit="1" customWidth="1"/>
    <col min="24" max="16384" width="9.140625" style="184"/>
  </cols>
  <sheetData>
    <row r="1" spans="1:22" x14ac:dyDescent="0.35">
      <c r="L1" s="386" t="s">
        <v>863</v>
      </c>
      <c r="M1" s="386"/>
      <c r="N1" s="386"/>
      <c r="Q1" s="305" t="s">
        <v>864</v>
      </c>
      <c r="R1" s="175">
        <v>300000</v>
      </c>
    </row>
    <row r="2" spans="1:22" ht="21.75" customHeight="1" x14ac:dyDescent="0.35">
      <c r="B2" s="387" t="s">
        <v>714</v>
      </c>
      <c r="C2" s="387" t="s">
        <v>254</v>
      </c>
      <c r="D2" s="389" t="s">
        <v>715</v>
      </c>
      <c r="E2" s="391" t="s">
        <v>218</v>
      </c>
      <c r="F2" s="391" t="s">
        <v>219</v>
      </c>
      <c r="G2" s="391" t="s">
        <v>220</v>
      </c>
      <c r="H2" s="393" t="s">
        <v>865</v>
      </c>
      <c r="I2" s="391" t="s">
        <v>221</v>
      </c>
      <c r="J2" s="395" t="s">
        <v>866</v>
      </c>
      <c r="K2" s="380" t="s">
        <v>881</v>
      </c>
      <c r="L2" s="185" t="s">
        <v>867</v>
      </c>
      <c r="M2" s="186" t="s">
        <v>868</v>
      </c>
      <c r="N2" s="187" t="s">
        <v>869</v>
      </c>
      <c r="O2" s="382" t="s">
        <v>877</v>
      </c>
      <c r="P2" s="384" t="s">
        <v>870</v>
      </c>
      <c r="Q2" s="305" t="s">
        <v>871</v>
      </c>
      <c r="R2" s="175">
        <v>330000</v>
      </c>
    </row>
    <row r="3" spans="1:22" ht="21.75" customHeight="1" x14ac:dyDescent="0.35">
      <c r="A3" s="184" t="s">
        <v>872</v>
      </c>
      <c r="B3" s="388"/>
      <c r="C3" s="388"/>
      <c r="D3" s="390"/>
      <c r="E3" s="392"/>
      <c r="F3" s="392"/>
      <c r="G3" s="392"/>
      <c r="H3" s="394"/>
      <c r="I3" s="392"/>
      <c r="J3" s="396"/>
      <c r="K3" s="381"/>
      <c r="L3" s="176">
        <v>3000</v>
      </c>
      <c r="M3" s="177" t="s">
        <v>873</v>
      </c>
      <c r="N3" s="178" t="s">
        <v>874</v>
      </c>
      <c r="O3" s="383"/>
      <c r="P3" s="385"/>
      <c r="Q3" s="305" t="s">
        <v>875</v>
      </c>
      <c r="R3" s="175">
        <v>360000</v>
      </c>
    </row>
    <row r="4" spans="1:22" s="188" customFormat="1" ht="21.75" customHeight="1" x14ac:dyDescent="0.35">
      <c r="A4" s="188">
        <v>1</v>
      </c>
      <c r="B4" s="237">
        <v>2</v>
      </c>
      <c r="C4" s="188">
        <v>3</v>
      </c>
      <c r="D4" s="237">
        <v>4</v>
      </c>
      <c r="E4" s="188">
        <v>5</v>
      </c>
      <c r="F4" s="237">
        <v>6</v>
      </c>
      <c r="G4" s="188">
        <v>7</v>
      </c>
      <c r="H4" s="237">
        <v>8</v>
      </c>
      <c r="I4" s="188">
        <v>9</v>
      </c>
      <c r="J4" s="237">
        <v>10</v>
      </c>
      <c r="K4" s="188">
        <v>11</v>
      </c>
      <c r="L4" s="237">
        <v>12</v>
      </c>
      <c r="M4" s="188">
        <v>13</v>
      </c>
      <c r="N4" s="237">
        <v>14</v>
      </c>
      <c r="O4" s="188">
        <v>15</v>
      </c>
      <c r="P4" s="188">
        <v>16</v>
      </c>
      <c r="Q4" s="306" t="s">
        <v>876</v>
      </c>
      <c r="S4" s="319" t="s">
        <v>910</v>
      </c>
      <c r="T4" s="319" t="s">
        <v>912</v>
      </c>
      <c r="U4" s="319" t="s">
        <v>916</v>
      </c>
      <c r="V4" s="322" t="s">
        <v>927</v>
      </c>
    </row>
    <row r="5" spans="1:22" ht="21.75" customHeight="1" x14ac:dyDescent="0.35">
      <c r="A5" s="184">
        <v>10660</v>
      </c>
      <c r="B5" s="189" t="s">
        <v>258</v>
      </c>
      <c r="C5" s="189" t="s">
        <v>259</v>
      </c>
      <c r="D5" s="68">
        <v>5024</v>
      </c>
      <c r="E5" s="229">
        <v>2158</v>
      </c>
      <c r="F5" s="229">
        <v>1086</v>
      </c>
      <c r="G5" s="229">
        <v>88</v>
      </c>
      <c r="H5" s="230">
        <v>140</v>
      </c>
      <c r="I5" s="229">
        <v>49</v>
      </c>
      <c r="J5" s="180">
        <f>SUM(D5:I5)</f>
        <v>8545</v>
      </c>
      <c r="K5" s="190" t="str">
        <f>VLOOKUP(J5,$N$212:$O$215,2)</f>
        <v>L</v>
      </c>
      <c r="L5" s="191"/>
      <c r="M5" s="191"/>
      <c r="N5" s="191"/>
      <c r="O5" s="181">
        <f t="shared" ref="O5:O68" si="0">VLOOKUP(J5,$O$217:$P$220,2)</f>
        <v>360000</v>
      </c>
      <c r="P5" s="175">
        <v>100000</v>
      </c>
      <c r="Q5" s="307">
        <f t="shared" ref="Q5:Q22" si="1">+P5*100/O5</f>
        <v>27.777777777777779</v>
      </c>
      <c r="R5" s="309"/>
      <c r="S5" s="318">
        <v>44284</v>
      </c>
      <c r="V5" s="318"/>
    </row>
    <row r="6" spans="1:22" ht="21.75" customHeight="1" x14ac:dyDescent="0.35">
      <c r="A6" s="184">
        <v>10660</v>
      </c>
      <c r="B6" s="189" t="s">
        <v>260</v>
      </c>
      <c r="C6" s="189" t="s">
        <v>261</v>
      </c>
      <c r="D6" s="68">
        <v>4383</v>
      </c>
      <c r="E6" s="179">
        <v>1938</v>
      </c>
      <c r="F6" s="179">
        <v>732</v>
      </c>
      <c r="G6" s="179">
        <v>64</v>
      </c>
      <c r="H6" s="179">
        <v>87</v>
      </c>
      <c r="I6" s="179">
        <v>12</v>
      </c>
      <c r="J6" s="180">
        <f t="shared" ref="J6:J68" si="2">SUM(D6:I6)</f>
        <v>7216</v>
      </c>
      <c r="K6" s="190" t="str">
        <f t="shared" ref="K6:K69" si="3">VLOOKUP(J6,$N$212:$O$215,2)</f>
        <v>M</v>
      </c>
      <c r="L6" s="191"/>
      <c r="M6" s="191"/>
      <c r="N6" s="191"/>
      <c r="O6" s="181">
        <f t="shared" si="0"/>
        <v>330000</v>
      </c>
      <c r="P6" s="175">
        <v>420000</v>
      </c>
      <c r="Q6" s="307">
        <f t="shared" si="1"/>
        <v>127.27272727272727</v>
      </c>
      <c r="R6" s="309"/>
      <c r="S6" s="318">
        <v>44284</v>
      </c>
      <c r="V6" s="318"/>
    </row>
    <row r="7" spans="1:22" ht="21.75" customHeight="1" x14ac:dyDescent="0.35">
      <c r="A7" s="184">
        <v>10660</v>
      </c>
      <c r="B7" s="193" t="s">
        <v>262</v>
      </c>
      <c r="C7" s="193" t="s">
        <v>263</v>
      </c>
      <c r="D7" s="65">
        <v>3924</v>
      </c>
      <c r="E7" s="179">
        <v>1500</v>
      </c>
      <c r="F7" s="179">
        <v>557</v>
      </c>
      <c r="G7" s="179">
        <v>60</v>
      </c>
      <c r="H7" s="179">
        <v>96</v>
      </c>
      <c r="I7" s="179">
        <v>4</v>
      </c>
      <c r="J7" s="180">
        <f t="shared" si="2"/>
        <v>6141</v>
      </c>
      <c r="K7" s="190" t="str">
        <f t="shared" si="3"/>
        <v>M</v>
      </c>
      <c r="L7" s="191"/>
      <c r="M7" s="191"/>
      <c r="N7" s="191"/>
      <c r="O7" s="181">
        <f t="shared" si="0"/>
        <v>330000</v>
      </c>
      <c r="P7" s="175">
        <v>300000</v>
      </c>
      <c r="Q7" s="307">
        <f t="shared" si="1"/>
        <v>90.909090909090907</v>
      </c>
      <c r="R7" s="309"/>
      <c r="S7" s="318">
        <v>44284</v>
      </c>
      <c r="V7" s="318"/>
    </row>
    <row r="8" spans="1:22" ht="21.75" customHeight="1" x14ac:dyDescent="0.35">
      <c r="A8" s="184">
        <v>10660</v>
      </c>
      <c r="B8" s="189" t="s">
        <v>264</v>
      </c>
      <c r="C8" s="189" t="s">
        <v>265</v>
      </c>
      <c r="D8" s="68">
        <v>1972</v>
      </c>
      <c r="E8" s="179">
        <v>605</v>
      </c>
      <c r="F8" s="179">
        <v>162</v>
      </c>
      <c r="G8" s="179">
        <v>16</v>
      </c>
      <c r="H8" s="179">
        <v>25</v>
      </c>
      <c r="I8" s="179">
        <v>7</v>
      </c>
      <c r="J8" s="180">
        <f t="shared" si="2"/>
        <v>2787</v>
      </c>
      <c r="K8" s="190" t="str">
        <f t="shared" si="3"/>
        <v>S</v>
      </c>
      <c r="L8" s="191"/>
      <c r="M8" s="191"/>
      <c r="N8" s="191"/>
      <c r="O8" s="181">
        <f t="shared" si="0"/>
        <v>300000</v>
      </c>
      <c r="P8" s="175">
        <v>330000</v>
      </c>
      <c r="Q8" s="307">
        <f t="shared" si="1"/>
        <v>110</v>
      </c>
      <c r="R8" s="309"/>
      <c r="S8" s="318">
        <v>44284</v>
      </c>
      <c r="V8" s="318"/>
    </row>
    <row r="9" spans="1:22" ht="21.75" customHeight="1" x14ac:dyDescent="0.35">
      <c r="A9" s="184">
        <v>10660</v>
      </c>
      <c r="B9" s="193" t="s">
        <v>266</v>
      </c>
      <c r="C9" s="193" t="s">
        <v>267</v>
      </c>
      <c r="D9" s="65">
        <v>4592</v>
      </c>
      <c r="E9" s="179">
        <v>1732</v>
      </c>
      <c r="F9" s="179">
        <v>399</v>
      </c>
      <c r="G9" s="179">
        <v>72</v>
      </c>
      <c r="H9" s="179">
        <v>91</v>
      </c>
      <c r="I9" s="179">
        <v>13</v>
      </c>
      <c r="J9" s="180">
        <f t="shared" si="2"/>
        <v>6899</v>
      </c>
      <c r="K9" s="190" t="str">
        <f t="shared" si="3"/>
        <v>M</v>
      </c>
      <c r="L9" s="191"/>
      <c r="M9" s="191"/>
      <c r="N9" s="191"/>
      <c r="O9" s="181">
        <f t="shared" si="0"/>
        <v>330000</v>
      </c>
      <c r="P9" s="175">
        <v>300000</v>
      </c>
      <c r="Q9" s="307">
        <f t="shared" si="1"/>
        <v>90.909090909090907</v>
      </c>
      <c r="R9" s="309"/>
      <c r="S9" s="318">
        <v>44284</v>
      </c>
      <c r="V9" s="318"/>
    </row>
    <row r="10" spans="1:22" ht="21.75" customHeight="1" x14ac:dyDescent="0.35">
      <c r="A10" s="184">
        <v>10660</v>
      </c>
      <c r="B10" s="189" t="s">
        <v>268</v>
      </c>
      <c r="C10" s="189" t="s">
        <v>269</v>
      </c>
      <c r="D10" s="68">
        <v>1723</v>
      </c>
      <c r="E10" s="235">
        <v>629</v>
      </c>
      <c r="F10" s="235">
        <v>189</v>
      </c>
      <c r="G10" s="235">
        <v>8</v>
      </c>
      <c r="H10" s="236">
        <v>22</v>
      </c>
      <c r="I10" s="236">
        <v>2</v>
      </c>
      <c r="J10" s="180">
        <f t="shared" si="2"/>
        <v>2573</v>
      </c>
      <c r="K10" s="190" t="str">
        <f t="shared" si="3"/>
        <v>S</v>
      </c>
      <c r="L10" s="191"/>
      <c r="M10" s="191"/>
      <c r="N10" s="191"/>
      <c r="O10" s="181">
        <f t="shared" si="0"/>
        <v>300000</v>
      </c>
      <c r="P10" s="175">
        <v>300000</v>
      </c>
      <c r="Q10" s="307">
        <f t="shared" si="1"/>
        <v>100</v>
      </c>
      <c r="R10" s="309"/>
      <c r="S10" s="318">
        <v>44284</v>
      </c>
      <c r="V10" s="318"/>
    </row>
    <row r="11" spans="1:22" ht="21.75" customHeight="1" x14ac:dyDescent="0.35">
      <c r="A11" s="184">
        <v>10660</v>
      </c>
      <c r="B11" s="189" t="s">
        <v>270</v>
      </c>
      <c r="C11" s="189" t="s">
        <v>271</v>
      </c>
      <c r="D11" s="68">
        <v>1324</v>
      </c>
      <c r="E11" s="236">
        <v>390</v>
      </c>
      <c r="F11" s="236">
        <v>106</v>
      </c>
      <c r="G11" s="236">
        <v>20</v>
      </c>
      <c r="H11" s="236">
        <v>17</v>
      </c>
      <c r="I11" s="236">
        <v>2</v>
      </c>
      <c r="J11" s="180">
        <f t="shared" si="2"/>
        <v>1859</v>
      </c>
      <c r="K11" s="190" t="str">
        <f t="shared" si="3"/>
        <v>S</v>
      </c>
      <c r="L11" s="191"/>
      <c r="M11" s="191"/>
      <c r="N11" s="191"/>
      <c r="O11" s="181">
        <f t="shared" si="0"/>
        <v>300000</v>
      </c>
      <c r="P11" s="175">
        <v>300000</v>
      </c>
      <c r="Q11" s="307">
        <f t="shared" si="1"/>
        <v>100</v>
      </c>
      <c r="R11" s="309"/>
      <c r="S11" s="318">
        <v>44284</v>
      </c>
      <c r="V11" s="318"/>
    </row>
    <row r="12" spans="1:22" ht="21.75" customHeight="1" x14ac:dyDescent="0.35">
      <c r="A12" s="184">
        <v>10660</v>
      </c>
      <c r="B12" s="193" t="s">
        <v>272</v>
      </c>
      <c r="C12" s="193" t="s">
        <v>273</v>
      </c>
      <c r="D12" s="65">
        <v>3353</v>
      </c>
      <c r="E12" s="179">
        <v>1250</v>
      </c>
      <c r="F12" s="179">
        <v>336</v>
      </c>
      <c r="G12" s="179">
        <v>33</v>
      </c>
      <c r="H12" s="179">
        <v>102</v>
      </c>
      <c r="I12" s="179">
        <v>9</v>
      </c>
      <c r="J12" s="180">
        <f t="shared" si="2"/>
        <v>5083</v>
      </c>
      <c r="K12" s="190" t="str">
        <f t="shared" si="3"/>
        <v>M</v>
      </c>
      <c r="L12" s="191"/>
      <c r="M12" s="191"/>
      <c r="N12" s="191"/>
      <c r="O12" s="181">
        <f t="shared" si="0"/>
        <v>330000</v>
      </c>
      <c r="P12" s="175">
        <v>550000</v>
      </c>
      <c r="Q12" s="307">
        <f t="shared" si="1"/>
        <v>166.66666666666666</v>
      </c>
      <c r="R12" s="309"/>
      <c r="S12" s="318">
        <v>44284</v>
      </c>
      <c r="V12" s="318"/>
    </row>
    <row r="13" spans="1:22" ht="21.75" customHeight="1" x14ac:dyDescent="0.35">
      <c r="A13" s="184">
        <v>10660</v>
      </c>
      <c r="B13" s="189" t="s">
        <v>274</v>
      </c>
      <c r="C13" s="189" t="s">
        <v>275</v>
      </c>
      <c r="D13" s="68">
        <v>2507</v>
      </c>
      <c r="E13" s="179">
        <v>1053</v>
      </c>
      <c r="F13" s="179">
        <v>700</v>
      </c>
      <c r="G13" s="179">
        <v>39</v>
      </c>
      <c r="H13" s="179">
        <v>60</v>
      </c>
      <c r="I13" s="179">
        <v>14</v>
      </c>
      <c r="J13" s="180">
        <f t="shared" si="2"/>
        <v>4373</v>
      </c>
      <c r="K13" s="190" t="str">
        <f t="shared" si="3"/>
        <v>M</v>
      </c>
      <c r="L13" s="191"/>
      <c r="M13" s="191"/>
      <c r="N13" s="191"/>
      <c r="O13" s="181">
        <f t="shared" si="0"/>
        <v>330000</v>
      </c>
      <c r="P13" s="175">
        <v>380000</v>
      </c>
      <c r="Q13" s="307">
        <f t="shared" si="1"/>
        <v>115.15151515151516</v>
      </c>
      <c r="R13" s="309"/>
      <c r="S13" s="318">
        <v>44284</v>
      </c>
      <c r="V13" s="318"/>
    </row>
    <row r="14" spans="1:22" ht="21.75" customHeight="1" x14ac:dyDescent="0.35">
      <c r="A14" s="184">
        <v>10660</v>
      </c>
      <c r="B14" s="193" t="s">
        <v>276</v>
      </c>
      <c r="C14" s="193" t="s">
        <v>277</v>
      </c>
      <c r="D14" s="65">
        <v>3521</v>
      </c>
      <c r="E14" s="179">
        <v>484</v>
      </c>
      <c r="F14" s="179">
        <v>270</v>
      </c>
      <c r="G14" s="179">
        <v>32</v>
      </c>
      <c r="H14" s="179">
        <v>32</v>
      </c>
      <c r="I14" s="179">
        <v>0</v>
      </c>
      <c r="J14" s="180">
        <f t="shared" si="2"/>
        <v>4339</v>
      </c>
      <c r="K14" s="190" t="str">
        <f t="shared" si="3"/>
        <v>M</v>
      </c>
      <c r="L14" s="191"/>
      <c r="M14" s="191"/>
      <c r="N14" s="191"/>
      <c r="O14" s="181">
        <f t="shared" si="0"/>
        <v>330000</v>
      </c>
      <c r="P14" s="175">
        <v>300000</v>
      </c>
      <c r="Q14" s="307">
        <f t="shared" si="1"/>
        <v>90.909090909090907</v>
      </c>
      <c r="R14" s="309"/>
      <c r="S14" s="318">
        <v>44284</v>
      </c>
      <c r="V14" s="318"/>
    </row>
    <row r="15" spans="1:22" ht="21.75" customHeight="1" x14ac:dyDescent="0.35">
      <c r="A15" s="184">
        <v>10660</v>
      </c>
      <c r="B15" s="189" t="s">
        <v>278</v>
      </c>
      <c r="C15" s="189" t="s">
        <v>279</v>
      </c>
      <c r="D15" s="68">
        <v>4073</v>
      </c>
      <c r="E15" s="179">
        <v>1077</v>
      </c>
      <c r="F15" s="179">
        <v>268</v>
      </c>
      <c r="G15" s="179">
        <v>29</v>
      </c>
      <c r="H15" s="179">
        <v>32</v>
      </c>
      <c r="I15" s="179">
        <v>12</v>
      </c>
      <c r="J15" s="180">
        <f t="shared" si="2"/>
        <v>5491</v>
      </c>
      <c r="K15" s="190" t="str">
        <f t="shared" si="3"/>
        <v>M</v>
      </c>
      <c r="L15" s="191"/>
      <c r="M15" s="191"/>
      <c r="N15" s="191"/>
      <c r="O15" s="181">
        <f t="shared" si="0"/>
        <v>330000</v>
      </c>
      <c r="P15" s="175">
        <v>550000</v>
      </c>
      <c r="Q15" s="307">
        <f t="shared" si="1"/>
        <v>166.66666666666666</v>
      </c>
      <c r="R15" s="309"/>
      <c r="S15" s="318">
        <v>44284</v>
      </c>
      <c r="V15" s="318"/>
    </row>
    <row r="16" spans="1:22" ht="21.75" customHeight="1" x14ac:dyDescent="0.35">
      <c r="A16" s="184">
        <v>10660</v>
      </c>
      <c r="B16" s="193" t="s">
        <v>280</v>
      </c>
      <c r="C16" s="193" t="s">
        <v>281</v>
      </c>
      <c r="D16" s="65">
        <v>3743</v>
      </c>
      <c r="E16" s="179">
        <v>1157</v>
      </c>
      <c r="F16" s="179">
        <v>315</v>
      </c>
      <c r="G16" s="179">
        <v>26</v>
      </c>
      <c r="H16" s="179">
        <v>53</v>
      </c>
      <c r="I16" s="179">
        <v>10</v>
      </c>
      <c r="J16" s="180">
        <f t="shared" si="2"/>
        <v>5304</v>
      </c>
      <c r="K16" s="190" t="str">
        <f t="shared" si="3"/>
        <v>M</v>
      </c>
      <c r="L16" s="191"/>
      <c r="M16" s="191"/>
      <c r="N16" s="191"/>
      <c r="O16" s="181">
        <f t="shared" si="0"/>
        <v>330000</v>
      </c>
      <c r="P16" s="175">
        <v>300000</v>
      </c>
      <c r="Q16" s="307">
        <f t="shared" si="1"/>
        <v>90.909090909090907</v>
      </c>
      <c r="R16" s="309"/>
      <c r="S16" s="318">
        <v>44284</v>
      </c>
      <c r="V16" s="318"/>
    </row>
    <row r="17" spans="1:22" ht="21.75" customHeight="1" x14ac:dyDescent="0.35">
      <c r="A17" s="184">
        <v>10660</v>
      </c>
      <c r="B17" s="189" t="s">
        <v>282</v>
      </c>
      <c r="C17" s="189" t="s">
        <v>283</v>
      </c>
      <c r="D17" s="68">
        <v>3106</v>
      </c>
      <c r="E17" s="179">
        <v>1368</v>
      </c>
      <c r="F17" s="179">
        <v>690</v>
      </c>
      <c r="G17" s="179">
        <v>58</v>
      </c>
      <c r="H17" s="179">
        <v>94</v>
      </c>
      <c r="I17" s="179">
        <v>9</v>
      </c>
      <c r="J17" s="180">
        <f t="shared" si="2"/>
        <v>5325</v>
      </c>
      <c r="K17" s="190" t="str">
        <f t="shared" si="3"/>
        <v>M</v>
      </c>
      <c r="L17" s="191"/>
      <c r="M17" s="191"/>
      <c r="N17" s="191"/>
      <c r="O17" s="181">
        <f t="shared" si="0"/>
        <v>330000</v>
      </c>
      <c r="P17" s="175">
        <v>300000</v>
      </c>
      <c r="Q17" s="307">
        <f t="shared" si="1"/>
        <v>90.909090909090907</v>
      </c>
      <c r="R17" s="309"/>
      <c r="S17" s="318">
        <v>44284</v>
      </c>
      <c r="V17" s="318"/>
    </row>
    <row r="18" spans="1:22" ht="21.75" customHeight="1" x14ac:dyDescent="0.35">
      <c r="A18" s="184">
        <v>10660</v>
      </c>
      <c r="B18" s="193" t="s">
        <v>284</v>
      </c>
      <c r="C18" s="193" t="s">
        <v>285</v>
      </c>
      <c r="D18" s="65">
        <v>3834</v>
      </c>
      <c r="E18" s="179">
        <v>1953</v>
      </c>
      <c r="F18" s="179">
        <v>1108</v>
      </c>
      <c r="G18" s="179">
        <v>128</v>
      </c>
      <c r="H18" s="179">
        <v>117</v>
      </c>
      <c r="I18" s="179">
        <v>14</v>
      </c>
      <c r="J18" s="180">
        <f t="shared" si="2"/>
        <v>7154</v>
      </c>
      <c r="K18" s="190" t="str">
        <f t="shared" si="3"/>
        <v>M</v>
      </c>
      <c r="L18" s="191"/>
      <c r="M18" s="191"/>
      <c r="N18" s="191"/>
      <c r="O18" s="181">
        <f t="shared" si="0"/>
        <v>330000</v>
      </c>
      <c r="P18" s="175">
        <v>300000</v>
      </c>
      <c r="Q18" s="307">
        <f t="shared" si="1"/>
        <v>90.909090909090907</v>
      </c>
      <c r="R18" s="309"/>
      <c r="S18" s="318">
        <v>44284</v>
      </c>
      <c r="V18" s="318"/>
    </row>
    <row r="19" spans="1:22" ht="21.75" customHeight="1" x14ac:dyDescent="0.35">
      <c r="A19" s="184">
        <v>10660</v>
      </c>
      <c r="B19" s="189" t="s">
        <v>286</v>
      </c>
      <c r="C19" s="189" t="s">
        <v>287</v>
      </c>
      <c r="D19" s="68">
        <v>2613</v>
      </c>
      <c r="E19" s="179">
        <v>997</v>
      </c>
      <c r="F19" s="179">
        <v>390</v>
      </c>
      <c r="G19" s="179">
        <v>61</v>
      </c>
      <c r="H19" s="179">
        <v>53</v>
      </c>
      <c r="I19" s="179">
        <v>8</v>
      </c>
      <c r="J19" s="180">
        <f t="shared" si="2"/>
        <v>4122</v>
      </c>
      <c r="K19" s="190" t="str">
        <f t="shared" si="3"/>
        <v>M</v>
      </c>
      <c r="L19" s="191"/>
      <c r="M19" s="191"/>
      <c r="N19" s="191"/>
      <c r="O19" s="181">
        <f t="shared" si="0"/>
        <v>330000</v>
      </c>
      <c r="P19" s="175">
        <v>450000</v>
      </c>
      <c r="Q19" s="307">
        <f t="shared" si="1"/>
        <v>136.36363636363637</v>
      </c>
      <c r="R19" s="309"/>
      <c r="S19" s="318">
        <v>44284</v>
      </c>
      <c r="V19" s="318"/>
    </row>
    <row r="20" spans="1:22" ht="21.75" customHeight="1" x14ac:dyDescent="0.35">
      <c r="A20" s="184">
        <v>10660</v>
      </c>
      <c r="B20" s="193" t="s">
        <v>288</v>
      </c>
      <c r="C20" s="193" t="s">
        <v>289</v>
      </c>
      <c r="D20" s="65">
        <v>1466</v>
      </c>
      <c r="E20" s="179">
        <v>822</v>
      </c>
      <c r="F20" s="179">
        <v>228</v>
      </c>
      <c r="G20" s="179">
        <v>25</v>
      </c>
      <c r="H20" s="179">
        <v>32</v>
      </c>
      <c r="I20" s="179">
        <v>8</v>
      </c>
      <c r="J20" s="180">
        <f t="shared" si="2"/>
        <v>2581</v>
      </c>
      <c r="K20" s="190" t="str">
        <f t="shared" si="3"/>
        <v>S</v>
      </c>
      <c r="L20" s="191"/>
      <c r="M20" s="191"/>
      <c r="N20" s="191"/>
      <c r="O20" s="181">
        <f t="shared" si="0"/>
        <v>300000</v>
      </c>
      <c r="P20" s="175">
        <v>10000</v>
      </c>
      <c r="Q20" s="307">
        <f t="shared" si="1"/>
        <v>3.3333333333333335</v>
      </c>
      <c r="R20" s="309"/>
      <c r="S20" s="318">
        <v>44284</v>
      </c>
      <c r="V20" s="318"/>
    </row>
    <row r="21" spans="1:22" ht="21.75" customHeight="1" x14ac:dyDescent="0.35">
      <c r="A21" s="184">
        <v>10660</v>
      </c>
      <c r="B21" s="189" t="s">
        <v>290</v>
      </c>
      <c r="C21" s="189" t="s">
        <v>291</v>
      </c>
      <c r="D21" s="68">
        <v>4101</v>
      </c>
      <c r="E21" s="179">
        <v>1742</v>
      </c>
      <c r="F21" s="179">
        <v>763</v>
      </c>
      <c r="G21" s="179">
        <v>81</v>
      </c>
      <c r="H21" s="179">
        <v>89</v>
      </c>
      <c r="I21" s="179">
        <v>14</v>
      </c>
      <c r="J21" s="180">
        <f t="shared" si="2"/>
        <v>6790</v>
      </c>
      <c r="K21" s="190" t="str">
        <f t="shared" si="3"/>
        <v>M</v>
      </c>
      <c r="L21" s="191"/>
      <c r="M21" s="191"/>
      <c r="N21" s="191"/>
      <c r="O21" s="181">
        <f t="shared" si="0"/>
        <v>330000</v>
      </c>
      <c r="P21" s="175">
        <v>300000</v>
      </c>
      <c r="Q21" s="307">
        <f t="shared" si="1"/>
        <v>90.909090909090907</v>
      </c>
      <c r="R21" s="309"/>
      <c r="S21" s="318">
        <v>44284</v>
      </c>
      <c r="V21" s="318"/>
    </row>
    <row r="22" spans="1:22" ht="21.75" customHeight="1" x14ac:dyDescent="0.35">
      <c r="A22" s="184">
        <v>10660</v>
      </c>
      <c r="B22" s="193" t="s">
        <v>292</v>
      </c>
      <c r="C22" s="193" t="s">
        <v>293</v>
      </c>
      <c r="D22" s="65">
        <v>837</v>
      </c>
      <c r="E22" s="179">
        <v>434</v>
      </c>
      <c r="F22" s="179">
        <v>95</v>
      </c>
      <c r="G22" s="179">
        <v>11</v>
      </c>
      <c r="H22" s="179">
        <v>18</v>
      </c>
      <c r="I22" s="179">
        <v>0</v>
      </c>
      <c r="J22" s="180">
        <f t="shared" si="2"/>
        <v>1395</v>
      </c>
      <c r="K22" s="190" t="str">
        <f t="shared" si="3"/>
        <v>S</v>
      </c>
      <c r="L22" s="191"/>
      <c r="M22" s="191"/>
      <c r="N22" s="191"/>
      <c r="O22" s="181">
        <f t="shared" si="0"/>
        <v>300000</v>
      </c>
      <c r="P22" s="175">
        <v>330000</v>
      </c>
      <c r="Q22" s="307">
        <f t="shared" si="1"/>
        <v>110</v>
      </c>
      <c r="R22" s="309"/>
      <c r="S22" s="318">
        <v>44284</v>
      </c>
      <c r="V22" s="318"/>
    </row>
    <row r="23" spans="1:22" ht="21.75" customHeight="1" x14ac:dyDescent="0.35">
      <c r="A23" s="184">
        <v>10688</v>
      </c>
      <c r="B23" s="194" t="s">
        <v>390</v>
      </c>
      <c r="C23" s="194" t="s">
        <v>391</v>
      </c>
      <c r="D23" s="122">
        <v>1922</v>
      </c>
      <c r="E23" s="179">
        <v>1676</v>
      </c>
      <c r="F23" s="179">
        <v>667</v>
      </c>
      <c r="G23" s="179">
        <v>163</v>
      </c>
      <c r="H23" s="179">
        <v>95</v>
      </c>
      <c r="I23" s="179">
        <v>11</v>
      </c>
      <c r="J23" s="180">
        <f t="shared" si="2"/>
        <v>4534</v>
      </c>
      <c r="K23" s="190" t="str">
        <f t="shared" si="3"/>
        <v>M</v>
      </c>
      <c r="L23" s="191"/>
      <c r="M23" s="191"/>
      <c r="N23" s="191"/>
      <c r="O23" s="181">
        <f t="shared" si="0"/>
        <v>330000</v>
      </c>
      <c r="P23" s="175">
        <v>330000</v>
      </c>
      <c r="Q23" s="307">
        <f t="shared" ref="Q23:Q69" si="4">+P23*100/O23</f>
        <v>100</v>
      </c>
      <c r="S23" s="318">
        <v>44265</v>
      </c>
      <c r="V23" s="318"/>
    </row>
    <row r="24" spans="1:22" ht="21.75" customHeight="1" x14ac:dyDescent="0.35">
      <c r="A24" s="184">
        <v>10688</v>
      </c>
      <c r="B24" s="195" t="s">
        <v>392</v>
      </c>
      <c r="C24" s="195" t="s">
        <v>393</v>
      </c>
      <c r="D24" s="101">
        <v>2644</v>
      </c>
      <c r="E24" s="179">
        <v>1030</v>
      </c>
      <c r="F24" s="179">
        <v>370</v>
      </c>
      <c r="G24" s="179">
        <v>110</v>
      </c>
      <c r="H24" s="179">
        <v>62</v>
      </c>
      <c r="I24" s="179">
        <v>9</v>
      </c>
      <c r="J24" s="180">
        <f t="shared" si="2"/>
        <v>4225</v>
      </c>
      <c r="K24" s="190" t="str">
        <f t="shared" si="3"/>
        <v>M</v>
      </c>
      <c r="L24" s="191"/>
      <c r="M24" s="191"/>
      <c r="N24" s="191"/>
      <c r="O24" s="181">
        <f t="shared" si="0"/>
        <v>330000</v>
      </c>
      <c r="P24" s="175">
        <v>330000</v>
      </c>
      <c r="Q24" s="307">
        <f t="shared" si="4"/>
        <v>100</v>
      </c>
      <c r="S24" s="318">
        <v>44265</v>
      </c>
      <c r="V24" s="318"/>
    </row>
    <row r="25" spans="1:22" ht="21.75" customHeight="1" x14ac:dyDescent="0.35">
      <c r="A25" s="184">
        <v>10688</v>
      </c>
      <c r="B25" s="194" t="s">
        <v>394</v>
      </c>
      <c r="C25" s="194" t="s">
        <v>395</v>
      </c>
      <c r="D25" s="122">
        <v>4269</v>
      </c>
      <c r="E25" s="179">
        <v>1509</v>
      </c>
      <c r="F25" s="179">
        <v>455</v>
      </c>
      <c r="G25" s="179">
        <v>100</v>
      </c>
      <c r="H25" s="179">
        <v>50</v>
      </c>
      <c r="I25" s="179">
        <v>9</v>
      </c>
      <c r="J25" s="180">
        <f t="shared" si="2"/>
        <v>6392</v>
      </c>
      <c r="K25" s="190" t="str">
        <f t="shared" si="3"/>
        <v>M</v>
      </c>
      <c r="L25" s="191"/>
      <c r="M25" s="191"/>
      <c r="N25" s="191"/>
      <c r="O25" s="181">
        <f t="shared" si="0"/>
        <v>330000</v>
      </c>
      <c r="P25" s="175">
        <v>330000</v>
      </c>
      <c r="Q25" s="307">
        <f t="shared" si="4"/>
        <v>100</v>
      </c>
      <c r="S25" s="318">
        <v>44265</v>
      </c>
      <c r="V25" s="318"/>
    </row>
    <row r="26" spans="1:22" ht="21.75" customHeight="1" x14ac:dyDescent="0.35">
      <c r="A26" s="184">
        <v>10688</v>
      </c>
      <c r="B26" s="194" t="s">
        <v>398</v>
      </c>
      <c r="C26" s="194" t="s">
        <v>399</v>
      </c>
      <c r="D26" s="122">
        <v>2070</v>
      </c>
      <c r="E26" s="179">
        <v>1132</v>
      </c>
      <c r="F26" s="179">
        <v>323</v>
      </c>
      <c r="G26" s="179">
        <v>79</v>
      </c>
      <c r="H26" s="179">
        <v>51</v>
      </c>
      <c r="I26" s="179">
        <v>6</v>
      </c>
      <c r="J26" s="180">
        <f t="shared" si="2"/>
        <v>3661</v>
      </c>
      <c r="K26" s="190" t="str">
        <f t="shared" si="3"/>
        <v>M</v>
      </c>
      <c r="L26" s="191"/>
      <c r="M26" s="191"/>
      <c r="N26" s="191"/>
      <c r="O26" s="181">
        <f t="shared" si="0"/>
        <v>330000</v>
      </c>
      <c r="P26" s="175">
        <v>330000</v>
      </c>
      <c r="Q26" s="307">
        <f t="shared" si="4"/>
        <v>100</v>
      </c>
      <c r="S26" s="318">
        <v>44265</v>
      </c>
      <c r="V26" s="318"/>
    </row>
    <row r="27" spans="1:22" ht="21.75" customHeight="1" x14ac:dyDescent="0.35">
      <c r="A27" s="184">
        <v>10688</v>
      </c>
      <c r="B27" s="195" t="s">
        <v>400</v>
      </c>
      <c r="C27" s="195" t="s">
        <v>401</v>
      </c>
      <c r="D27" s="101">
        <v>2010</v>
      </c>
      <c r="E27" s="179">
        <v>538</v>
      </c>
      <c r="F27" s="179">
        <v>128</v>
      </c>
      <c r="G27" s="179">
        <v>16</v>
      </c>
      <c r="H27" s="179">
        <v>18</v>
      </c>
      <c r="I27" s="179">
        <v>1</v>
      </c>
      <c r="J27" s="180">
        <f t="shared" si="2"/>
        <v>2711</v>
      </c>
      <c r="K27" s="190" t="str">
        <f t="shared" si="3"/>
        <v>S</v>
      </c>
      <c r="L27" s="191"/>
      <c r="M27" s="191"/>
      <c r="N27" s="191"/>
      <c r="O27" s="181">
        <f t="shared" si="0"/>
        <v>300000</v>
      </c>
      <c r="P27" s="175">
        <v>300000</v>
      </c>
      <c r="Q27" s="307">
        <f t="shared" si="4"/>
        <v>100</v>
      </c>
      <c r="S27" s="318">
        <v>44265</v>
      </c>
      <c r="V27" s="318"/>
    </row>
    <row r="28" spans="1:22" ht="21.75" customHeight="1" x14ac:dyDescent="0.35">
      <c r="A28" s="184">
        <v>10688</v>
      </c>
      <c r="B28" s="194" t="s">
        <v>402</v>
      </c>
      <c r="C28" s="194" t="s">
        <v>403</v>
      </c>
      <c r="D28" s="122">
        <v>2311</v>
      </c>
      <c r="E28" s="179">
        <v>903</v>
      </c>
      <c r="F28" s="179">
        <v>270</v>
      </c>
      <c r="G28" s="179">
        <v>43</v>
      </c>
      <c r="H28" s="179">
        <v>42</v>
      </c>
      <c r="I28" s="179">
        <v>4</v>
      </c>
      <c r="J28" s="180">
        <f t="shared" si="2"/>
        <v>3573</v>
      </c>
      <c r="K28" s="190" t="str">
        <f t="shared" si="3"/>
        <v>M</v>
      </c>
      <c r="L28" s="191"/>
      <c r="M28" s="191"/>
      <c r="N28" s="191"/>
      <c r="O28" s="181">
        <f t="shared" si="0"/>
        <v>330000</v>
      </c>
      <c r="P28" s="175">
        <v>330000</v>
      </c>
      <c r="Q28" s="307">
        <f t="shared" si="4"/>
        <v>100</v>
      </c>
      <c r="S28" s="318">
        <v>44265</v>
      </c>
      <c r="V28" s="318"/>
    </row>
    <row r="29" spans="1:22" ht="21.75" customHeight="1" x14ac:dyDescent="0.35">
      <c r="A29" s="184">
        <v>10688</v>
      </c>
      <c r="B29" s="195" t="s">
        <v>404</v>
      </c>
      <c r="C29" s="195" t="s">
        <v>405</v>
      </c>
      <c r="D29" s="101">
        <v>1662</v>
      </c>
      <c r="E29" s="179">
        <v>771</v>
      </c>
      <c r="F29" s="179">
        <v>168</v>
      </c>
      <c r="G29" s="179">
        <v>27</v>
      </c>
      <c r="H29" s="179">
        <v>28</v>
      </c>
      <c r="I29" s="179">
        <v>3</v>
      </c>
      <c r="J29" s="180">
        <f t="shared" si="2"/>
        <v>2659</v>
      </c>
      <c r="K29" s="190" t="str">
        <f t="shared" si="3"/>
        <v>S</v>
      </c>
      <c r="L29" s="191"/>
      <c r="M29" s="191"/>
      <c r="N29" s="191"/>
      <c r="O29" s="181">
        <f t="shared" si="0"/>
        <v>300000</v>
      </c>
      <c r="P29" s="175">
        <v>300000</v>
      </c>
      <c r="Q29" s="307">
        <f t="shared" si="4"/>
        <v>100</v>
      </c>
      <c r="S29" s="318">
        <v>44265</v>
      </c>
      <c r="V29" s="318"/>
    </row>
    <row r="30" spans="1:22" ht="21.75" customHeight="1" x14ac:dyDescent="0.35">
      <c r="A30" s="184">
        <v>10688</v>
      </c>
      <c r="B30" s="194" t="s">
        <v>406</v>
      </c>
      <c r="C30" s="194" t="s">
        <v>407</v>
      </c>
      <c r="D30" s="122">
        <v>1143</v>
      </c>
      <c r="E30" s="179">
        <v>572</v>
      </c>
      <c r="F30" s="179">
        <v>166</v>
      </c>
      <c r="G30" s="179">
        <v>21</v>
      </c>
      <c r="H30" s="179">
        <v>21</v>
      </c>
      <c r="I30" s="179">
        <v>3</v>
      </c>
      <c r="J30" s="180">
        <f t="shared" si="2"/>
        <v>1926</v>
      </c>
      <c r="K30" s="190" t="str">
        <f t="shared" si="3"/>
        <v>S</v>
      </c>
      <c r="L30" s="191"/>
      <c r="M30" s="191"/>
      <c r="N30" s="191"/>
      <c r="O30" s="181">
        <f t="shared" si="0"/>
        <v>300000</v>
      </c>
      <c r="P30" s="175">
        <v>300000</v>
      </c>
      <c r="Q30" s="307">
        <f t="shared" si="4"/>
        <v>100</v>
      </c>
      <c r="S30" s="318">
        <v>44265</v>
      </c>
      <c r="V30" s="318"/>
    </row>
    <row r="31" spans="1:22" ht="21.75" customHeight="1" x14ac:dyDescent="0.35">
      <c r="A31" s="184">
        <v>10688</v>
      </c>
      <c r="B31" s="195" t="s">
        <v>408</v>
      </c>
      <c r="C31" s="195" t="s">
        <v>409</v>
      </c>
      <c r="D31" s="101">
        <v>2857</v>
      </c>
      <c r="E31" s="179">
        <v>1137</v>
      </c>
      <c r="F31" s="179">
        <v>219</v>
      </c>
      <c r="G31" s="179">
        <v>52</v>
      </c>
      <c r="H31" s="179">
        <v>38</v>
      </c>
      <c r="I31" s="179">
        <v>4</v>
      </c>
      <c r="J31" s="180">
        <f t="shared" si="2"/>
        <v>4307</v>
      </c>
      <c r="K31" s="190" t="str">
        <f t="shared" si="3"/>
        <v>M</v>
      </c>
      <c r="L31" s="191"/>
      <c r="M31" s="191"/>
      <c r="N31" s="191"/>
      <c r="O31" s="181">
        <f t="shared" si="0"/>
        <v>330000</v>
      </c>
      <c r="P31" s="175">
        <v>330000</v>
      </c>
      <c r="Q31" s="307">
        <f t="shared" si="4"/>
        <v>100</v>
      </c>
      <c r="S31" s="318">
        <v>44265</v>
      </c>
      <c r="V31" s="318"/>
    </row>
    <row r="32" spans="1:22" ht="21.75" customHeight="1" x14ac:dyDescent="0.35">
      <c r="A32" s="184">
        <v>10688</v>
      </c>
      <c r="B32" s="194" t="s">
        <v>410</v>
      </c>
      <c r="C32" s="194" t="s">
        <v>411</v>
      </c>
      <c r="D32" s="122">
        <v>3218</v>
      </c>
      <c r="E32" s="179">
        <v>1032</v>
      </c>
      <c r="F32" s="179">
        <v>249</v>
      </c>
      <c r="G32" s="179">
        <v>47</v>
      </c>
      <c r="H32" s="179">
        <v>44</v>
      </c>
      <c r="I32" s="179">
        <v>10</v>
      </c>
      <c r="J32" s="180">
        <f t="shared" si="2"/>
        <v>4600</v>
      </c>
      <c r="K32" s="190" t="str">
        <f t="shared" si="3"/>
        <v>M</v>
      </c>
      <c r="L32" s="191"/>
      <c r="M32" s="191"/>
      <c r="N32" s="191"/>
      <c r="O32" s="181">
        <f t="shared" si="0"/>
        <v>330000</v>
      </c>
      <c r="P32" s="175">
        <v>330000</v>
      </c>
      <c r="Q32" s="307">
        <f t="shared" si="4"/>
        <v>100</v>
      </c>
      <c r="S32" s="318">
        <v>44265</v>
      </c>
      <c r="V32" s="318"/>
    </row>
    <row r="33" spans="1:22" ht="21.75" customHeight="1" x14ac:dyDescent="0.35">
      <c r="A33" s="184">
        <v>10688</v>
      </c>
      <c r="B33" s="195" t="s">
        <v>412</v>
      </c>
      <c r="C33" s="195" t="s">
        <v>413</v>
      </c>
      <c r="D33" s="101">
        <v>3297</v>
      </c>
      <c r="E33" s="179">
        <v>1190</v>
      </c>
      <c r="F33" s="179">
        <v>208</v>
      </c>
      <c r="G33" s="179">
        <v>26</v>
      </c>
      <c r="H33" s="179">
        <v>27</v>
      </c>
      <c r="I33" s="179">
        <v>4</v>
      </c>
      <c r="J33" s="180">
        <f t="shared" si="2"/>
        <v>4752</v>
      </c>
      <c r="K33" s="190" t="str">
        <f t="shared" si="3"/>
        <v>M</v>
      </c>
      <c r="L33" s="191"/>
      <c r="M33" s="191"/>
      <c r="N33" s="191"/>
      <c r="O33" s="181">
        <f t="shared" si="0"/>
        <v>330000</v>
      </c>
      <c r="P33" s="175">
        <v>330000</v>
      </c>
      <c r="Q33" s="307">
        <f t="shared" si="4"/>
        <v>100</v>
      </c>
      <c r="S33" s="318">
        <v>44265</v>
      </c>
      <c r="V33" s="318"/>
    </row>
    <row r="34" spans="1:22" ht="21.75" customHeight="1" x14ac:dyDescent="0.35">
      <c r="A34" s="184">
        <v>10688</v>
      </c>
      <c r="B34" s="194" t="s">
        <v>414</v>
      </c>
      <c r="C34" s="194" t="s">
        <v>415</v>
      </c>
      <c r="D34" s="122">
        <v>2097</v>
      </c>
      <c r="E34" s="179">
        <v>952</v>
      </c>
      <c r="F34" s="179">
        <v>155</v>
      </c>
      <c r="G34" s="179">
        <v>16</v>
      </c>
      <c r="H34" s="179">
        <v>19</v>
      </c>
      <c r="I34" s="179">
        <v>6</v>
      </c>
      <c r="J34" s="180">
        <f t="shared" si="2"/>
        <v>3245</v>
      </c>
      <c r="K34" s="190" t="str">
        <f t="shared" si="3"/>
        <v>M</v>
      </c>
      <c r="L34" s="191"/>
      <c r="M34" s="191"/>
      <c r="N34" s="191"/>
      <c r="O34" s="181">
        <f t="shared" si="0"/>
        <v>330000</v>
      </c>
      <c r="P34" s="175">
        <v>330000</v>
      </c>
      <c r="Q34" s="307">
        <f t="shared" si="4"/>
        <v>100</v>
      </c>
      <c r="S34" s="318">
        <v>44265</v>
      </c>
      <c r="V34" s="318"/>
    </row>
    <row r="35" spans="1:22" ht="21.75" customHeight="1" x14ac:dyDescent="0.35">
      <c r="A35" s="184">
        <v>10688</v>
      </c>
      <c r="B35" s="195" t="s">
        <v>416</v>
      </c>
      <c r="C35" s="195" t="s">
        <v>417</v>
      </c>
      <c r="D35" s="101">
        <v>1734</v>
      </c>
      <c r="E35" s="179">
        <v>494</v>
      </c>
      <c r="F35" s="179">
        <v>88</v>
      </c>
      <c r="G35" s="179">
        <v>33</v>
      </c>
      <c r="H35" s="179">
        <v>6</v>
      </c>
      <c r="I35" s="179">
        <v>4</v>
      </c>
      <c r="J35" s="180">
        <f t="shared" si="2"/>
        <v>2359</v>
      </c>
      <c r="K35" s="190" t="str">
        <f t="shared" si="3"/>
        <v>S</v>
      </c>
      <c r="L35" s="191"/>
      <c r="M35" s="191"/>
      <c r="N35" s="191"/>
      <c r="O35" s="181">
        <f t="shared" si="0"/>
        <v>300000</v>
      </c>
      <c r="P35" s="175">
        <v>30000</v>
      </c>
      <c r="Q35" s="307">
        <f t="shared" si="4"/>
        <v>10</v>
      </c>
      <c r="S35" s="318">
        <v>44265</v>
      </c>
      <c r="V35" s="318"/>
    </row>
    <row r="36" spans="1:22" ht="21.75" customHeight="1" x14ac:dyDescent="0.35">
      <c r="A36" s="184">
        <v>10688</v>
      </c>
      <c r="B36" s="194" t="s">
        <v>418</v>
      </c>
      <c r="C36" s="194" t="s">
        <v>419</v>
      </c>
      <c r="D36" s="122">
        <v>1768</v>
      </c>
      <c r="E36" s="179">
        <v>732</v>
      </c>
      <c r="F36" s="179">
        <v>110</v>
      </c>
      <c r="G36" s="179">
        <v>24</v>
      </c>
      <c r="H36" s="179">
        <v>15</v>
      </c>
      <c r="I36" s="179">
        <v>5</v>
      </c>
      <c r="J36" s="180">
        <f t="shared" si="2"/>
        <v>2654</v>
      </c>
      <c r="K36" s="190" t="str">
        <f t="shared" si="3"/>
        <v>S</v>
      </c>
      <c r="L36" s="191"/>
      <c r="M36" s="191"/>
      <c r="N36" s="191"/>
      <c r="O36" s="181">
        <f t="shared" si="0"/>
        <v>300000</v>
      </c>
      <c r="P36" s="175">
        <v>300000</v>
      </c>
      <c r="Q36" s="307">
        <f t="shared" si="4"/>
        <v>100</v>
      </c>
      <c r="S36" s="318">
        <v>44265</v>
      </c>
      <c r="V36" s="318"/>
    </row>
    <row r="37" spans="1:22" ht="21.75" customHeight="1" x14ac:dyDescent="0.35">
      <c r="A37" s="184">
        <v>10688</v>
      </c>
      <c r="B37" s="195" t="s">
        <v>420</v>
      </c>
      <c r="C37" s="195" t="s">
        <v>421</v>
      </c>
      <c r="D37" s="101">
        <v>1589</v>
      </c>
      <c r="E37" s="179">
        <v>782</v>
      </c>
      <c r="F37" s="179">
        <v>171</v>
      </c>
      <c r="G37" s="179">
        <v>68</v>
      </c>
      <c r="H37" s="179">
        <v>46</v>
      </c>
      <c r="I37" s="179">
        <v>3</v>
      </c>
      <c r="J37" s="180">
        <f t="shared" si="2"/>
        <v>2659</v>
      </c>
      <c r="K37" s="190" t="str">
        <f t="shared" si="3"/>
        <v>S</v>
      </c>
      <c r="L37" s="191"/>
      <c r="M37" s="191"/>
      <c r="N37" s="191"/>
      <c r="O37" s="181">
        <f t="shared" si="0"/>
        <v>300000</v>
      </c>
      <c r="P37" s="175">
        <v>300000</v>
      </c>
      <c r="Q37" s="307">
        <f t="shared" si="4"/>
        <v>100</v>
      </c>
      <c r="S37" s="318">
        <v>44265</v>
      </c>
      <c r="V37" s="318"/>
    </row>
    <row r="38" spans="1:22" ht="21.75" customHeight="1" x14ac:dyDescent="0.35">
      <c r="A38" s="184">
        <v>10768</v>
      </c>
      <c r="B38" s="196" t="s">
        <v>432</v>
      </c>
      <c r="C38" s="196" t="s">
        <v>433</v>
      </c>
      <c r="D38" s="3">
        <v>1697</v>
      </c>
      <c r="E38" s="179">
        <v>796</v>
      </c>
      <c r="F38" s="179">
        <v>143</v>
      </c>
      <c r="G38" s="179">
        <v>23</v>
      </c>
      <c r="H38" s="179">
        <v>30</v>
      </c>
      <c r="I38" s="179">
        <v>9</v>
      </c>
      <c r="J38" s="180">
        <f t="shared" si="2"/>
        <v>2698</v>
      </c>
      <c r="K38" s="190" t="str">
        <f t="shared" si="3"/>
        <v>S</v>
      </c>
      <c r="L38" s="191"/>
      <c r="M38" s="191"/>
      <c r="N38" s="191"/>
      <c r="O38" s="181">
        <f t="shared" si="0"/>
        <v>300000</v>
      </c>
      <c r="P38" s="175">
        <f>150000+150000</f>
        <v>300000</v>
      </c>
      <c r="Q38" s="307">
        <f t="shared" si="4"/>
        <v>100</v>
      </c>
      <c r="S38" s="318">
        <v>44230</v>
      </c>
      <c r="T38" s="318">
        <v>44330</v>
      </c>
      <c r="V38" s="323"/>
    </row>
    <row r="39" spans="1:22" ht="21.75" customHeight="1" x14ac:dyDescent="0.35">
      <c r="A39" s="184">
        <v>10768</v>
      </c>
      <c r="B39" s="198" t="s">
        <v>434</v>
      </c>
      <c r="C39" s="198" t="s">
        <v>435</v>
      </c>
      <c r="D39" s="6">
        <v>1926</v>
      </c>
      <c r="E39" s="179">
        <v>949</v>
      </c>
      <c r="F39" s="179">
        <v>225</v>
      </c>
      <c r="G39" s="179">
        <v>28</v>
      </c>
      <c r="H39" s="179">
        <v>48</v>
      </c>
      <c r="I39" s="179">
        <v>10</v>
      </c>
      <c r="J39" s="180">
        <f t="shared" si="2"/>
        <v>3186</v>
      </c>
      <c r="K39" s="190" t="str">
        <f t="shared" si="3"/>
        <v>M</v>
      </c>
      <c r="L39" s="191"/>
      <c r="M39" s="191"/>
      <c r="N39" s="191"/>
      <c r="O39" s="181">
        <f t="shared" si="0"/>
        <v>330000</v>
      </c>
      <c r="P39" s="175">
        <f>165000+165000</f>
        <v>330000</v>
      </c>
      <c r="Q39" s="307">
        <f t="shared" si="4"/>
        <v>100</v>
      </c>
      <c r="S39" s="318">
        <v>44230</v>
      </c>
      <c r="T39" s="318">
        <v>44330</v>
      </c>
      <c r="V39" s="323"/>
    </row>
    <row r="40" spans="1:22" ht="21.75" customHeight="1" x14ac:dyDescent="0.35">
      <c r="A40" s="184">
        <v>10768</v>
      </c>
      <c r="B40" s="196" t="s">
        <v>436</v>
      </c>
      <c r="C40" s="196" t="s">
        <v>437</v>
      </c>
      <c r="D40" s="3">
        <v>850</v>
      </c>
      <c r="E40" s="179">
        <v>404</v>
      </c>
      <c r="F40" s="179">
        <v>98</v>
      </c>
      <c r="G40" s="179">
        <v>17</v>
      </c>
      <c r="H40" s="179">
        <v>16</v>
      </c>
      <c r="I40" s="179">
        <v>1</v>
      </c>
      <c r="J40" s="180">
        <f t="shared" si="2"/>
        <v>1386</v>
      </c>
      <c r="K40" s="190" t="str">
        <f t="shared" si="3"/>
        <v>S</v>
      </c>
      <c r="L40" s="191"/>
      <c r="M40" s="191"/>
      <c r="N40" s="191"/>
      <c r="O40" s="181">
        <f t="shared" si="0"/>
        <v>300000</v>
      </c>
      <c r="P40" s="175">
        <f>150000+150000</f>
        <v>300000</v>
      </c>
      <c r="Q40" s="307">
        <f t="shared" si="4"/>
        <v>100</v>
      </c>
      <c r="S40" s="318">
        <v>44230</v>
      </c>
      <c r="T40" s="318">
        <v>44330</v>
      </c>
      <c r="V40" s="323"/>
    </row>
    <row r="41" spans="1:22" ht="21.75" customHeight="1" x14ac:dyDescent="0.35">
      <c r="A41" s="184">
        <v>10768</v>
      </c>
      <c r="B41" s="196" t="s">
        <v>438</v>
      </c>
      <c r="C41" s="196" t="s">
        <v>439</v>
      </c>
      <c r="D41" s="6">
        <v>1019</v>
      </c>
      <c r="E41" s="172">
        <v>451</v>
      </c>
      <c r="F41" s="172">
        <v>77</v>
      </c>
      <c r="G41" s="172">
        <v>8</v>
      </c>
      <c r="H41" s="172">
        <v>19</v>
      </c>
      <c r="I41" s="172">
        <v>3</v>
      </c>
      <c r="J41" s="180">
        <f t="shared" si="2"/>
        <v>1577</v>
      </c>
      <c r="K41" s="190" t="str">
        <f t="shared" si="3"/>
        <v>S</v>
      </c>
      <c r="L41" s="191"/>
      <c r="M41" s="191"/>
      <c r="N41" s="191"/>
      <c r="O41" s="181">
        <f t="shared" si="0"/>
        <v>300000</v>
      </c>
      <c r="P41" s="175">
        <f>150000+150000</f>
        <v>300000</v>
      </c>
      <c r="Q41" s="307">
        <f t="shared" si="4"/>
        <v>100</v>
      </c>
      <c r="S41" s="318">
        <v>44230</v>
      </c>
      <c r="T41" s="318">
        <v>44330</v>
      </c>
      <c r="V41" s="323"/>
    </row>
    <row r="42" spans="1:22" ht="21.75" customHeight="1" x14ac:dyDescent="0.35">
      <c r="A42" s="184">
        <v>10768</v>
      </c>
      <c r="B42" s="198" t="s">
        <v>440</v>
      </c>
      <c r="C42" s="198" t="s">
        <v>441</v>
      </c>
      <c r="D42" s="3">
        <v>1342</v>
      </c>
      <c r="E42" s="179">
        <v>684</v>
      </c>
      <c r="F42" s="179">
        <v>122</v>
      </c>
      <c r="G42" s="179">
        <v>21</v>
      </c>
      <c r="H42" s="179">
        <v>24</v>
      </c>
      <c r="I42" s="179">
        <v>4</v>
      </c>
      <c r="J42" s="180">
        <f t="shared" si="2"/>
        <v>2197</v>
      </c>
      <c r="K42" s="190" t="str">
        <f t="shared" si="3"/>
        <v>S</v>
      </c>
      <c r="L42" s="191"/>
      <c r="M42" s="191"/>
      <c r="N42" s="191"/>
      <c r="O42" s="181">
        <f t="shared" si="0"/>
        <v>300000</v>
      </c>
      <c r="P42" s="175">
        <f>150000+150000</f>
        <v>300000</v>
      </c>
      <c r="Q42" s="307">
        <f t="shared" si="4"/>
        <v>100</v>
      </c>
      <c r="S42" s="318">
        <v>44230</v>
      </c>
      <c r="T42" s="318">
        <v>44330</v>
      </c>
      <c r="V42" s="323"/>
    </row>
    <row r="43" spans="1:22" ht="21.75" customHeight="1" x14ac:dyDescent="0.35">
      <c r="A43" s="184">
        <v>10768</v>
      </c>
      <c r="B43" s="198" t="s">
        <v>442</v>
      </c>
      <c r="C43" s="198" t="s">
        <v>443</v>
      </c>
      <c r="D43" s="6">
        <v>1436</v>
      </c>
      <c r="E43" s="179">
        <v>749</v>
      </c>
      <c r="F43" s="179">
        <v>109</v>
      </c>
      <c r="G43" s="179">
        <v>29</v>
      </c>
      <c r="H43" s="179">
        <v>19</v>
      </c>
      <c r="I43" s="179">
        <v>6</v>
      </c>
      <c r="J43" s="180">
        <f t="shared" si="2"/>
        <v>2348</v>
      </c>
      <c r="K43" s="190" t="str">
        <f t="shared" si="3"/>
        <v>S</v>
      </c>
      <c r="L43" s="191"/>
      <c r="M43" s="191"/>
      <c r="N43" s="191"/>
      <c r="O43" s="181">
        <f t="shared" si="0"/>
        <v>300000</v>
      </c>
      <c r="P43" s="175">
        <f>150000+150000</f>
        <v>300000</v>
      </c>
      <c r="Q43" s="307">
        <f t="shared" si="4"/>
        <v>100</v>
      </c>
      <c r="S43" s="318">
        <v>44230</v>
      </c>
      <c r="T43" s="318">
        <v>44330</v>
      </c>
      <c r="V43" s="323"/>
    </row>
    <row r="44" spans="1:22" ht="21.75" customHeight="1" x14ac:dyDescent="0.35">
      <c r="A44" s="184">
        <v>10768</v>
      </c>
      <c r="B44" s="196" t="s">
        <v>444</v>
      </c>
      <c r="C44" s="196" t="s">
        <v>445</v>
      </c>
      <c r="D44" s="3">
        <v>1903</v>
      </c>
      <c r="E44" s="179">
        <v>861</v>
      </c>
      <c r="F44" s="179">
        <v>226</v>
      </c>
      <c r="G44" s="179">
        <v>22</v>
      </c>
      <c r="H44" s="179">
        <v>44</v>
      </c>
      <c r="I44" s="179">
        <v>5</v>
      </c>
      <c r="J44" s="180">
        <f t="shared" si="2"/>
        <v>3061</v>
      </c>
      <c r="K44" s="190" t="str">
        <f t="shared" si="3"/>
        <v>M</v>
      </c>
      <c r="L44" s="191"/>
      <c r="M44" s="191"/>
      <c r="N44" s="191"/>
      <c r="O44" s="181">
        <f t="shared" si="0"/>
        <v>330000</v>
      </c>
      <c r="P44" s="175">
        <f>165000+165000</f>
        <v>330000</v>
      </c>
      <c r="Q44" s="307">
        <f t="shared" si="4"/>
        <v>100</v>
      </c>
      <c r="S44" s="318">
        <v>44230</v>
      </c>
      <c r="T44" s="318">
        <v>44330</v>
      </c>
      <c r="V44" s="323"/>
    </row>
    <row r="45" spans="1:22" ht="21.75" customHeight="1" x14ac:dyDescent="0.35">
      <c r="A45" s="184">
        <v>10768</v>
      </c>
      <c r="B45" s="198" t="s">
        <v>446</v>
      </c>
      <c r="C45" s="198" t="s">
        <v>447</v>
      </c>
      <c r="D45" s="6">
        <v>875</v>
      </c>
      <c r="E45" s="179">
        <v>480</v>
      </c>
      <c r="F45" s="179">
        <v>81</v>
      </c>
      <c r="G45" s="179">
        <v>25</v>
      </c>
      <c r="H45" s="179">
        <v>16</v>
      </c>
      <c r="I45" s="179">
        <v>8</v>
      </c>
      <c r="J45" s="180">
        <f t="shared" si="2"/>
        <v>1485</v>
      </c>
      <c r="K45" s="190" t="str">
        <f t="shared" si="3"/>
        <v>S</v>
      </c>
      <c r="L45" s="191"/>
      <c r="M45" s="191"/>
      <c r="N45" s="191"/>
      <c r="O45" s="181">
        <f t="shared" si="0"/>
        <v>300000</v>
      </c>
      <c r="P45" s="175">
        <f>150000+150000</f>
        <v>300000</v>
      </c>
      <c r="Q45" s="307">
        <f t="shared" si="4"/>
        <v>100</v>
      </c>
      <c r="S45" s="318">
        <v>44230</v>
      </c>
      <c r="T45" s="318">
        <v>44330</v>
      </c>
      <c r="V45" s="323"/>
    </row>
    <row r="46" spans="1:22" ht="21.75" customHeight="1" x14ac:dyDescent="0.35">
      <c r="A46" s="184">
        <v>10768</v>
      </c>
      <c r="B46" s="198" t="s">
        <v>448</v>
      </c>
      <c r="C46" s="198" t="s">
        <v>911</v>
      </c>
      <c r="D46" s="6">
        <v>1007</v>
      </c>
      <c r="E46" s="179">
        <v>485</v>
      </c>
      <c r="F46" s="179">
        <v>77</v>
      </c>
      <c r="G46" s="179">
        <v>18</v>
      </c>
      <c r="H46" s="179">
        <v>13</v>
      </c>
      <c r="I46" s="179">
        <v>3</v>
      </c>
      <c r="J46" s="180">
        <f t="shared" si="2"/>
        <v>1603</v>
      </c>
      <c r="K46" s="190" t="str">
        <f t="shared" si="3"/>
        <v>S</v>
      </c>
      <c r="L46" s="191"/>
      <c r="M46" s="191"/>
      <c r="N46" s="191"/>
      <c r="O46" s="181">
        <f t="shared" si="0"/>
        <v>300000</v>
      </c>
      <c r="P46" s="175">
        <f>150000+150000</f>
        <v>300000</v>
      </c>
      <c r="Q46" s="307">
        <f t="shared" si="4"/>
        <v>100</v>
      </c>
      <c r="S46" s="318">
        <v>44230</v>
      </c>
      <c r="T46" s="318">
        <v>44330</v>
      </c>
      <c r="V46" s="323"/>
    </row>
    <row r="47" spans="1:22" ht="21.75" customHeight="1" x14ac:dyDescent="0.35">
      <c r="A47" s="184">
        <v>10768</v>
      </c>
      <c r="B47" s="196" t="s">
        <v>449</v>
      </c>
      <c r="C47" s="196" t="s">
        <v>450</v>
      </c>
      <c r="D47" s="3">
        <v>1641</v>
      </c>
      <c r="E47" s="179">
        <v>870</v>
      </c>
      <c r="F47" s="179">
        <v>206</v>
      </c>
      <c r="G47" s="179">
        <v>27</v>
      </c>
      <c r="H47" s="179">
        <v>30</v>
      </c>
      <c r="I47" s="179">
        <v>6</v>
      </c>
      <c r="J47" s="180">
        <f t="shared" si="2"/>
        <v>2780</v>
      </c>
      <c r="K47" s="190" t="str">
        <f t="shared" si="3"/>
        <v>S</v>
      </c>
      <c r="L47" s="191"/>
      <c r="M47" s="191"/>
      <c r="N47" s="191"/>
      <c r="O47" s="181">
        <f t="shared" si="0"/>
        <v>300000</v>
      </c>
      <c r="P47" s="175">
        <f>150000+150000</f>
        <v>300000</v>
      </c>
      <c r="Q47" s="307">
        <f t="shared" si="4"/>
        <v>100</v>
      </c>
      <c r="S47" s="318">
        <v>44230</v>
      </c>
      <c r="T47" s="318">
        <v>44330</v>
      </c>
      <c r="V47" s="323"/>
    </row>
    <row r="48" spans="1:22" ht="21.75" customHeight="1" x14ac:dyDescent="0.35">
      <c r="A48" s="184">
        <v>10768</v>
      </c>
      <c r="B48" s="198" t="s">
        <v>451</v>
      </c>
      <c r="C48" s="198" t="s">
        <v>452</v>
      </c>
      <c r="D48" s="6">
        <v>2447</v>
      </c>
      <c r="E48" s="179">
        <v>1329</v>
      </c>
      <c r="F48" s="179">
        <v>359</v>
      </c>
      <c r="G48" s="179">
        <v>38</v>
      </c>
      <c r="H48" s="179">
        <v>50</v>
      </c>
      <c r="I48" s="179">
        <v>10</v>
      </c>
      <c r="J48" s="180">
        <f t="shared" si="2"/>
        <v>4233</v>
      </c>
      <c r="K48" s="190" t="str">
        <f t="shared" si="3"/>
        <v>M</v>
      </c>
      <c r="L48" s="191"/>
      <c r="M48" s="191"/>
      <c r="N48" s="191"/>
      <c r="O48" s="181">
        <f t="shared" si="0"/>
        <v>330000</v>
      </c>
      <c r="P48" s="175">
        <f>165000+165000</f>
        <v>330000</v>
      </c>
      <c r="Q48" s="307">
        <f t="shared" si="4"/>
        <v>100</v>
      </c>
      <c r="S48" s="318">
        <v>44230</v>
      </c>
      <c r="T48" s="318">
        <v>44330</v>
      </c>
      <c r="V48" s="323"/>
    </row>
    <row r="49" spans="1:22" ht="21.75" customHeight="1" x14ac:dyDescent="0.35">
      <c r="A49" s="184">
        <v>10768</v>
      </c>
      <c r="B49" s="196" t="s">
        <v>453</v>
      </c>
      <c r="C49" s="196" t="s">
        <v>454</v>
      </c>
      <c r="D49" s="3">
        <v>2180</v>
      </c>
      <c r="E49" s="179">
        <v>1031</v>
      </c>
      <c r="F49" s="179">
        <v>268</v>
      </c>
      <c r="G49" s="179">
        <v>49</v>
      </c>
      <c r="H49" s="179">
        <v>47</v>
      </c>
      <c r="I49" s="179">
        <v>9</v>
      </c>
      <c r="J49" s="180">
        <f t="shared" si="2"/>
        <v>3584</v>
      </c>
      <c r="K49" s="190" t="str">
        <f t="shared" si="3"/>
        <v>M</v>
      </c>
      <c r="L49" s="191"/>
      <c r="M49" s="191"/>
      <c r="N49" s="191"/>
      <c r="O49" s="181">
        <f t="shared" si="0"/>
        <v>330000</v>
      </c>
      <c r="P49" s="175">
        <f>165000+165000</f>
        <v>330000</v>
      </c>
      <c r="Q49" s="307">
        <f t="shared" si="4"/>
        <v>100</v>
      </c>
      <c r="S49" s="318">
        <v>44230</v>
      </c>
      <c r="T49" s="318">
        <v>44330</v>
      </c>
      <c r="V49" s="323"/>
    </row>
    <row r="50" spans="1:22" ht="21.75" customHeight="1" x14ac:dyDescent="0.35">
      <c r="A50" s="184">
        <v>10769</v>
      </c>
      <c r="B50" s="198" t="s">
        <v>461</v>
      </c>
      <c r="C50" s="198" t="s">
        <v>462</v>
      </c>
      <c r="D50" s="87">
        <v>2609</v>
      </c>
      <c r="E50" s="179">
        <v>1347</v>
      </c>
      <c r="F50" s="179">
        <v>539</v>
      </c>
      <c r="G50" s="179">
        <v>68</v>
      </c>
      <c r="H50" s="179">
        <v>61</v>
      </c>
      <c r="I50" s="179">
        <v>9</v>
      </c>
      <c r="J50" s="180">
        <f t="shared" si="2"/>
        <v>4633</v>
      </c>
      <c r="K50" s="190" t="str">
        <f t="shared" si="3"/>
        <v>M</v>
      </c>
      <c r="L50" s="191"/>
      <c r="M50" s="191"/>
      <c r="N50" s="191"/>
      <c r="O50" s="181">
        <f t="shared" si="0"/>
        <v>330000</v>
      </c>
      <c r="P50" s="175">
        <f>265000+350000</f>
        <v>615000</v>
      </c>
      <c r="Q50" s="307">
        <f t="shared" si="4"/>
        <v>186.36363636363637</v>
      </c>
      <c r="S50" s="318">
        <v>44242</v>
      </c>
      <c r="T50" s="318">
        <v>44344</v>
      </c>
      <c r="V50" s="318"/>
    </row>
    <row r="51" spans="1:22" ht="21.75" customHeight="1" x14ac:dyDescent="0.35">
      <c r="A51" s="184">
        <v>10769</v>
      </c>
      <c r="B51" s="196" t="s">
        <v>455</v>
      </c>
      <c r="C51" s="196" t="s">
        <v>456</v>
      </c>
      <c r="D51" s="88">
        <v>2847</v>
      </c>
      <c r="E51" s="179">
        <v>1096</v>
      </c>
      <c r="F51" s="179">
        <v>298</v>
      </c>
      <c r="G51" s="179">
        <v>75</v>
      </c>
      <c r="H51" s="179">
        <v>50</v>
      </c>
      <c r="I51" s="179">
        <v>9</v>
      </c>
      <c r="J51" s="180">
        <f t="shared" si="2"/>
        <v>4375</v>
      </c>
      <c r="K51" s="190" t="str">
        <f t="shared" si="3"/>
        <v>M</v>
      </c>
      <c r="L51" s="191"/>
      <c r="M51" s="191"/>
      <c r="N51" s="191"/>
      <c r="O51" s="181">
        <f t="shared" si="0"/>
        <v>330000</v>
      </c>
      <c r="P51" s="175">
        <f>165000+165000</f>
        <v>330000</v>
      </c>
      <c r="Q51" s="307">
        <f t="shared" si="4"/>
        <v>100</v>
      </c>
      <c r="S51" s="318">
        <v>44242</v>
      </c>
      <c r="T51" s="318">
        <v>44344</v>
      </c>
      <c r="V51" s="318"/>
    </row>
    <row r="52" spans="1:22" ht="21.75" customHeight="1" x14ac:dyDescent="0.35">
      <c r="A52" s="184">
        <v>10769</v>
      </c>
      <c r="B52" s="198" t="s">
        <v>463</v>
      </c>
      <c r="C52" s="198" t="s">
        <v>464</v>
      </c>
      <c r="D52" s="87">
        <v>3550</v>
      </c>
      <c r="E52" s="179">
        <v>494</v>
      </c>
      <c r="F52" s="179">
        <v>93</v>
      </c>
      <c r="G52" s="179">
        <v>8</v>
      </c>
      <c r="H52" s="179">
        <v>14</v>
      </c>
      <c r="I52" s="179">
        <v>6</v>
      </c>
      <c r="J52" s="180">
        <f t="shared" si="2"/>
        <v>4165</v>
      </c>
      <c r="K52" s="190" t="str">
        <f t="shared" si="3"/>
        <v>M</v>
      </c>
      <c r="L52" s="191"/>
      <c r="M52" s="191"/>
      <c r="N52" s="191"/>
      <c r="O52" s="181">
        <f t="shared" si="0"/>
        <v>330000</v>
      </c>
      <c r="P52" s="175">
        <f>150000+100000</f>
        <v>250000</v>
      </c>
      <c r="Q52" s="307">
        <f t="shared" si="4"/>
        <v>75.757575757575751</v>
      </c>
      <c r="S52" s="318">
        <v>44242</v>
      </c>
      <c r="T52" s="318">
        <v>44344</v>
      </c>
      <c r="V52" s="318"/>
    </row>
    <row r="53" spans="1:22" ht="21.75" customHeight="1" x14ac:dyDescent="0.35">
      <c r="A53" s="184">
        <v>10769</v>
      </c>
      <c r="B53" s="196" t="s">
        <v>465</v>
      </c>
      <c r="C53" s="196" t="s">
        <v>466</v>
      </c>
      <c r="D53" s="88">
        <v>2236</v>
      </c>
      <c r="E53" s="179">
        <v>1017</v>
      </c>
      <c r="F53" s="179">
        <v>247</v>
      </c>
      <c r="G53" s="179">
        <v>18</v>
      </c>
      <c r="H53" s="179">
        <v>35</v>
      </c>
      <c r="I53" s="179">
        <v>3</v>
      </c>
      <c r="J53" s="180">
        <f t="shared" si="2"/>
        <v>3556</v>
      </c>
      <c r="K53" s="190" t="str">
        <f t="shared" si="3"/>
        <v>M</v>
      </c>
      <c r="L53" s="191"/>
      <c r="M53" s="191"/>
      <c r="N53" s="191"/>
      <c r="O53" s="181">
        <f t="shared" si="0"/>
        <v>330000</v>
      </c>
      <c r="P53" s="175">
        <f>165000+160000</f>
        <v>325000</v>
      </c>
      <c r="Q53" s="307">
        <f t="shared" si="4"/>
        <v>98.484848484848484</v>
      </c>
      <c r="S53" s="318">
        <v>44242</v>
      </c>
      <c r="T53" s="318">
        <v>44344</v>
      </c>
      <c r="V53" s="318"/>
    </row>
    <row r="54" spans="1:22" ht="21.75" customHeight="1" x14ac:dyDescent="0.35">
      <c r="A54" s="184">
        <v>10769</v>
      </c>
      <c r="B54" s="198" t="s">
        <v>467</v>
      </c>
      <c r="C54" s="198" t="s">
        <v>468</v>
      </c>
      <c r="D54" s="87">
        <v>2190</v>
      </c>
      <c r="E54" s="179">
        <v>1052</v>
      </c>
      <c r="F54" s="179">
        <v>162</v>
      </c>
      <c r="G54" s="179">
        <v>35</v>
      </c>
      <c r="H54" s="179">
        <v>34</v>
      </c>
      <c r="I54" s="179">
        <v>5</v>
      </c>
      <c r="J54" s="180">
        <f t="shared" si="2"/>
        <v>3478</v>
      </c>
      <c r="K54" s="190" t="str">
        <f t="shared" si="3"/>
        <v>M</v>
      </c>
      <c r="L54" s="191"/>
      <c r="M54" s="191"/>
      <c r="N54" s="191"/>
      <c r="O54" s="181">
        <f t="shared" si="0"/>
        <v>330000</v>
      </c>
      <c r="P54" s="175">
        <f>165000+160000</f>
        <v>325000</v>
      </c>
      <c r="Q54" s="307">
        <f t="shared" si="4"/>
        <v>98.484848484848484</v>
      </c>
      <c r="S54" s="318">
        <v>44242</v>
      </c>
      <c r="T54" s="318">
        <v>44344</v>
      </c>
      <c r="V54" s="318"/>
    </row>
    <row r="55" spans="1:22" ht="21.75" customHeight="1" x14ac:dyDescent="0.35">
      <c r="A55" s="184">
        <v>10769</v>
      </c>
      <c r="B55" s="196" t="s">
        <v>469</v>
      </c>
      <c r="C55" s="196" t="s">
        <v>470</v>
      </c>
      <c r="D55" s="88">
        <v>1763</v>
      </c>
      <c r="E55" s="179">
        <v>867</v>
      </c>
      <c r="F55" s="179">
        <v>223</v>
      </c>
      <c r="G55" s="179">
        <v>39</v>
      </c>
      <c r="H55" s="179">
        <v>34</v>
      </c>
      <c r="I55" s="179">
        <v>4</v>
      </c>
      <c r="J55" s="180">
        <f t="shared" si="2"/>
        <v>2930</v>
      </c>
      <c r="K55" s="190" t="str">
        <f t="shared" si="3"/>
        <v>S</v>
      </c>
      <c r="L55" s="191"/>
      <c r="M55" s="191"/>
      <c r="N55" s="191"/>
      <c r="O55" s="181">
        <f t="shared" si="0"/>
        <v>300000</v>
      </c>
      <c r="P55" s="175">
        <f>100000+100000</f>
        <v>200000</v>
      </c>
      <c r="Q55" s="307">
        <f t="shared" si="4"/>
        <v>66.666666666666671</v>
      </c>
      <c r="S55" s="318">
        <v>44242</v>
      </c>
      <c r="T55" s="318">
        <v>44344</v>
      </c>
      <c r="V55" s="318"/>
    </row>
    <row r="56" spans="1:22" ht="21.75" customHeight="1" x14ac:dyDescent="0.35">
      <c r="A56" s="184">
        <v>10769</v>
      </c>
      <c r="B56" s="198" t="s">
        <v>471</v>
      </c>
      <c r="C56" s="198" t="s">
        <v>472</v>
      </c>
      <c r="D56" s="87">
        <v>1342</v>
      </c>
      <c r="E56" s="179">
        <v>680</v>
      </c>
      <c r="F56" s="179">
        <v>126</v>
      </c>
      <c r="G56" s="179">
        <v>18</v>
      </c>
      <c r="H56" s="179">
        <v>23</v>
      </c>
      <c r="I56" s="179">
        <v>3</v>
      </c>
      <c r="J56" s="180">
        <f t="shared" si="2"/>
        <v>2192</v>
      </c>
      <c r="K56" s="190" t="str">
        <f t="shared" si="3"/>
        <v>S</v>
      </c>
      <c r="L56" s="191"/>
      <c r="M56" s="191"/>
      <c r="N56" s="191"/>
      <c r="O56" s="181">
        <f t="shared" si="0"/>
        <v>300000</v>
      </c>
      <c r="P56" s="175">
        <f>150000+100000</f>
        <v>250000</v>
      </c>
      <c r="Q56" s="307">
        <f t="shared" si="4"/>
        <v>83.333333333333329</v>
      </c>
      <c r="S56" s="318">
        <v>44242</v>
      </c>
      <c r="T56" s="318">
        <v>44344</v>
      </c>
      <c r="V56" s="318"/>
    </row>
    <row r="57" spans="1:22" ht="21.75" customHeight="1" x14ac:dyDescent="0.35">
      <c r="A57" s="184">
        <v>10769</v>
      </c>
      <c r="B57" s="196" t="s">
        <v>473</v>
      </c>
      <c r="C57" s="196" t="s">
        <v>474</v>
      </c>
      <c r="D57" s="88">
        <v>1082</v>
      </c>
      <c r="E57" s="179">
        <v>508</v>
      </c>
      <c r="F57" s="179">
        <v>190</v>
      </c>
      <c r="G57" s="179">
        <v>16</v>
      </c>
      <c r="H57" s="179">
        <v>18</v>
      </c>
      <c r="I57" s="179">
        <v>2</v>
      </c>
      <c r="J57" s="180">
        <f t="shared" si="2"/>
        <v>1816</v>
      </c>
      <c r="K57" s="190" t="str">
        <f t="shared" si="3"/>
        <v>S</v>
      </c>
      <c r="L57" s="191"/>
      <c r="M57" s="191"/>
      <c r="N57" s="191"/>
      <c r="O57" s="181">
        <f t="shared" si="0"/>
        <v>300000</v>
      </c>
      <c r="P57" s="175">
        <f>200000+195000</f>
        <v>395000</v>
      </c>
      <c r="Q57" s="307">
        <f t="shared" si="4"/>
        <v>131.66666666666666</v>
      </c>
      <c r="S57" s="318">
        <v>44242</v>
      </c>
      <c r="T57" s="318">
        <v>44344</v>
      </c>
      <c r="V57" s="318"/>
    </row>
    <row r="58" spans="1:22" ht="21.75" customHeight="1" x14ac:dyDescent="0.35">
      <c r="A58" s="184">
        <v>10769</v>
      </c>
      <c r="B58" s="198" t="s">
        <v>475</v>
      </c>
      <c r="C58" s="198" t="s">
        <v>476</v>
      </c>
      <c r="D58" s="87">
        <v>1313</v>
      </c>
      <c r="E58" s="179">
        <v>621</v>
      </c>
      <c r="F58" s="179">
        <v>119</v>
      </c>
      <c r="G58" s="179">
        <v>9</v>
      </c>
      <c r="H58" s="179">
        <v>11</v>
      </c>
      <c r="I58" s="179">
        <v>3</v>
      </c>
      <c r="J58" s="180">
        <f t="shared" si="2"/>
        <v>2076</v>
      </c>
      <c r="K58" s="190" t="str">
        <f t="shared" si="3"/>
        <v>S</v>
      </c>
      <c r="L58" s="191"/>
      <c r="M58" s="191"/>
      <c r="N58" s="191"/>
      <c r="O58" s="181">
        <f t="shared" si="0"/>
        <v>300000</v>
      </c>
      <c r="P58" s="175">
        <f>150000+150000</f>
        <v>300000</v>
      </c>
      <c r="Q58" s="307">
        <f t="shared" si="4"/>
        <v>100</v>
      </c>
      <c r="S58" s="318">
        <v>44242</v>
      </c>
      <c r="T58" s="318">
        <v>44344</v>
      </c>
      <c r="V58" s="318"/>
    </row>
    <row r="59" spans="1:22" ht="21.75" customHeight="1" x14ac:dyDescent="0.35">
      <c r="A59" s="184">
        <v>10769</v>
      </c>
      <c r="B59" s="196" t="s">
        <v>477</v>
      </c>
      <c r="C59" s="196" t="s">
        <v>478</v>
      </c>
      <c r="D59" s="88">
        <v>1329</v>
      </c>
      <c r="E59" s="179">
        <v>760</v>
      </c>
      <c r="F59" s="179">
        <v>143</v>
      </c>
      <c r="G59" s="179">
        <v>13</v>
      </c>
      <c r="H59" s="179">
        <v>25</v>
      </c>
      <c r="I59" s="179">
        <v>2</v>
      </c>
      <c r="J59" s="180">
        <f t="shared" si="2"/>
        <v>2272</v>
      </c>
      <c r="K59" s="190" t="str">
        <f t="shared" si="3"/>
        <v>S</v>
      </c>
      <c r="L59" s="191"/>
      <c r="M59" s="191"/>
      <c r="N59" s="191"/>
      <c r="O59" s="181">
        <f t="shared" si="0"/>
        <v>300000</v>
      </c>
      <c r="P59" s="175">
        <f>100000+130000</f>
        <v>230000</v>
      </c>
      <c r="Q59" s="307">
        <f t="shared" si="4"/>
        <v>76.666666666666671</v>
      </c>
      <c r="S59" s="318">
        <v>44242</v>
      </c>
      <c r="T59" s="318">
        <v>44344</v>
      </c>
      <c r="V59" s="318"/>
    </row>
    <row r="60" spans="1:22" ht="21.75" customHeight="1" x14ac:dyDescent="0.35">
      <c r="A60" s="184">
        <v>10769</v>
      </c>
      <c r="B60" s="198" t="s">
        <v>457</v>
      </c>
      <c r="C60" s="198" t="s">
        <v>458</v>
      </c>
      <c r="D60" s="87">
        <v>770</v>
      </c>
      <c r="E60" s="179">
        <v>349</v>
      </c>
      <c r="F60" s="179">
        <v>83</v>
      </c>
      <c r="G60" s="179">
        <v>20</v>
      </c>
      <c r="H60" s="179">
        <v>20</v>
      </c>
      <c r="I60" s="179">
        <v>4</v>
      </c>
      <c r="J60" s="180">
        <f t="shared" si="2"/>
        <v>1246</v>
      </c>
      <c r="K60" s="190" t="str">
        <f t="shared" si="3"/>
        <v>S</v>
      </c>
      <c r="L60" s="191"/>
      <c r="M60" s="191"/>
      <c r="N60" s="191"/>
      <c r="O60" s="181">
        <f t="shared" si="0"/>
        <v>300000</v>
      </c>
      <c r="P60" s="175">
        <f>100000+100000</f>
        <v>200000</v>
      </c>
      <c r="Q60" s="307">
        <f t="shared" si="4"/>
        <v>66.666666666666671</v>
      </c>
      <c r="S60" s="318">
        <v>44242</v>
      </c>
      <c r="T60" s="318">
        <v>44344</v>
      </c>
      <c r="V60" s="318"/>
    </row>
    <row r="61" spans="1:22" ht="21.75" customHeight="1" x14ac:dyDescent="0.35">
      <c r="A61" s="184">
        <v>10769</v>
      </c>
      <c r="B61" s="196" t="s">
        <v>479</v>
      </c>
      <c r="C61" s="196" t="s">
        <v>480</v>
      </c>
      <c r="D61" s="88">
        <v>1171</v>
      </c>
      <c r="E61" s="179">
        <v>578</v>
      </c>
      <c r="F61" s="179">
        <v>175</v>
      </c>
      <c r="G61" s="179">
        <v>10</v>
      </c>
      <c r="H61" s="179">
        <v>22</v>
      </c>
      <c r="I61" s="179">
        <v>1</v>
      </c>
      <c r="J61" s="180">
        <f t="shared" si="2"/>
        <v>1957</v>
      </c>
      <c r="K61" s="190" t="str">
        <f t="shared" si="3"/>
        <v>S</v>
      </c>
      <c r="L61" s="191"/>
      <c r="M61" s="191"/>
      <c r="N61" s="191"/>
      <c r="O61" s="181">
        <f t="shared" si="0"/>
        <v>300000</v>
      </c>
      <c r="P61" s="175">
        <f>150000+150000</f>
        <v>300000</v>
      </c>
      <c r="Q61" s="307">
        <f t="shared" si="4"/>
        <v>100</v>
      </c>
      <c r="S61" s="318">
        <v>44242</v>
      </c>
      <c r="T61" s="318">
        <v>44344</v>
      </c>
      <c r="V61" s="318"/>
    </row>
    <row r="62" spans="1:22" ht="21.75" customHeight="1" x14ac:dyDescent="0.35">
      <c r="A62" s="184">
        <v>10770</v>
      </c>
      <c r="B62" s="196" t="s">
        <v>351</v>
      </c>
      <c r="C62" s="196" t="s">
        <v>352</v>
      </c>
      <c r="D62" s="3">
        <v>1805</v>
      </c>
      <c r="E62" s="179">
        <v>616</v>
      </c>
      <c r="F62" s="179">
        <v>85</v>
      </c>
      <c r="G62" s="179">
        <v>12</v>
      </c>
      <c r="H62" s="179">
        <v>20</v>
      </c>
      <c r="I62" s="179">
        <v>3</v>
      </c>
      <c r="J62" s="180">
        <f t="shared" si="2"/>
        <v>2541</v>
      </c>
      <c r="K62" s="190" t="str">
        <f t="shared" si="3"/>
        <v>S</v>
      </c>
      <c r="L62" s="191"/>
      <c r="M62" s="191"/>
      <c r="N62" s="191"/>
      <c r="O62" s="181">
        <f t="shared" si="0"/>
        <v>300000</v>
      </c>
      <c r="P62" s="175">
        <f>37327+59861.6+30000+291561.76</f>
        <v>418750.36</v>
      </c>
      <c r="Q62" s="307">
        <f t="shared" si="4"/>
        <v>139.58345333333332</v>
      </c>
      <c r="S62" s="318">
        <v>44207</v>
      </c>
      <c r="T62" s="318">
        <v>44334</v>
      </c>
      <c r="U62" s="318">
        <v>44419</v>
      </c>
      <c r="V62" s="328">
        <v>44530</v>
      </c>
    </row>
    <row r="63" spans="1:22" ht="21.75" customHeight="1" x14ac:dyDescent="0.35">
      <c r="A63" s="184">
        <v>10770</v>
      </c>
      <c r="B63" s="198" t="s">
        <v>489</v>
      </c>
      <c r="C63" s="198" t="s">
        <v>490</v>
      </c>
      <c r="D63" s="6">
        <v>1492</v>
      </c>
      <c r="E63" s="179">
        <v>852</v>
      </c>
      <c r="F63" s="179">
        <v>140</v>
      </c>
      <c r="G63" s="179">
        <v>22</v>
      </c>
      <c r="H63" s="179">
        <v>24</v>
      </c>
      <c r="I63" s="179">
        <v>8</v>
      </c>
      <c r="J63" s="180">
        <f t="shared" si="2"/>
        <v>2538</v>
      </c>
      <c r="K63" s="190" t="str">
        <f t="shared" si="3"/>
        <v>S</v>
      </c>
      <c r="L63" s="191"/>
      <c r="M63" s="191"/>
      <c r="N63" s="191"/>
      <c r="O63" s="181">
        <f t="shared" si="0"/>
        <v>300000</v>
      </c>
      <c r="P63" s="175">
        <f>25000+50000+30000+64316.76</f>
        <v>169316.76</v>
      </c>
      <c r="Q63" s="307">
        <f t="shared" si="4"/>
        <v>56.438920000000003</v>
      </c>
      <c r="S63" s="318">
        <v>44207</v>
      </c>
      <c r="T63" s="318">
        <v>44334</v>
      </c>
      <c r="U63" s="318">
        <v>44419</v>
      </c>
      <c r="V63" s="328">
        <v>44530</v>
      </c>
    </row>
    <row r="64" spans="1:22" ht="21.75" customHeight="1" x14ac:dyDescent="0.35">
      <c r="A64" s="184">
        <v>10770</v>
      </c>
      <c r="B64" s="196" t="s">
        <v>294</v>
      </c>
      <c r="C64" s="196" t="s">
        <v>295</v>
      </c>
      <c r="D64" s="3">
        <v>440</v>
      </c>
      <c r="E64" s="179">
        <v>228</v>
      </c>
      <c r="F64" s="179">
        <v>74</v>
      </c>
      <c r="G64" s="179">
        <v>15</v>
      </c>
      <c r="H64" s="179">
        <v>11</v>
      </c>
      <c r="I64" s="179">
        <v>0</v>
      </c>
      <c r="J64" s="180">
        <f t="shared" si="2"/>
        <v>768</v>
      </c>
      <c r="K64" s="190" t="str">
        <f t="shared" si="3"/>
        <v>S</v>
      </c>
      <c r="L64" s="191"/>
      <c r="M64" s="191"/>
      <c r="N64" s="191"/>
      <c r="O64" s="181">
        <f t="shared" si="0"/>
        <v>300000</v>
      </c>
      <c r="P64" s="175">
        <f>25000+50000+30000+22870.68</f>
        <v>127870.68</v>
      </c>
      <c r="Q64" s="307">
        <f t="shared" si="4"/>
        <v>42.623559999999998</v>
      </c>
      <c r="S64" s="318">
        <v>44207</v>
      </c>
      <c r="T64" s="318">
        <v>44334</v>
      </c>
      <c r="U64" s="318">
        <v>44419</v>
      </c>
      <c r="V64" s="328">
        <v>44530</v>
      </c>
    </row>
    <row r="65" spans="1:22" ht="21.75" customHeight="1" x14ac:dyDescent="0.35">
      <c r="A65" s="184">
        <v>10770</v>
      </c>
      <c r="B65" s="198" t="s">
        <v>353</v>
      </c>
      <c r="C65" s="198" t="s">
        <v>354</v>
      </c>
      <c r="D65" s="6">
        <v>519</v>
      </c>
      <c r="E65" s="179">
        <v>220</v>
      </c>
      <c r="F65" s="179">
        <v>80</v>
      </c>
      <c r="G65" s="179">
        <v>11</v>
      </c>
      <c r="H65" s="179">
        <v>11</v>
      </c>
      <c r="I65" s="179">
        <v>2</v>
      </c>
      <c r="J65" s="180">
        <f t="shared" si="2"/>
        <v>843</v>
      </c>
      <c r="K65" s="190" t="str">
        <f t="shared" si="3"/>
        <v>S</v>
      </c>
      <c r="L65" s="191"/>
      <c r="M65" s="191"/>
      <c r="N65" s="191"/>
      <c r="O65" s="181">
        <f t="shared" si="0"/>
        <v>300000</v>
      </c>
      <c r="P65" s="175">
        <f>25000+50000+30000+20656.74</f>
        <v>125656.74</v>
      </c>
      <c r="Q65" s="307">
        <f t="shared" si="4"/>
        <v>41.885579999999997</v>
      </c>
      <c r="S65" s="318">
        <v>44207</v>
      </c>
      <c r="T65" s="318">
        <v>44334</v>
      </c>
      <c r="U65" s="318">
        <v>44419</v>
      </c>
      <c r="V65" s="328">
        <v>44530</v>
      </c>
    </row>
    <row r="66" spans="1:22" ht="21.75" customHeight="1" x14ac:dyDescent="0.35">
      <c r="A66" s="184">
        <v>10770</v>
      </c>
      <c r="B66" s="196" t="s">
        <v>355</v>
      </c>
      <c r="C66" s="196" t="s">
        <v>356</v>
      </c>
      <c r="D66" s="3">
        <v>788</v>
      </c>
      <c r="E66" s="179">
        <v>466</v>
      </c>
      <c r="F66" s="179">
        <v>122</v>
      </c>
      <c r="G66" s="179">
        <v>19</v>
      </c>
      <c r="H66" s="179">
        <v>29</v>
      </c>
      <c r="I66" s="179">
        <v>4</v>
      </c>
      <c r="J66" s="180">
        <f t="shared" si="2"/>
        <v>1428</v>
      </c>
      <c r="K66" s="190" t="str">
        <f t="shared" si="3"/>
        <v>S</v>
      </c>
      <c r="L66" s="191"/>
      <c r="M66" s="191"/>
      <c r="N66" s="191"/>
      <c r="O66" s="181">
        <f t="shared" si="0"/>
        <v>300000</v>
      </c>
      <c r="P66" s="175">
        <f>38240.5+60592.4+30000+67725.14</f>
        <v>196558.03999999998</v>
      </c>
      <c r="Q66" s="307">
        <f t="shared" si="4"/>
        <v>65.51934666666665</v>
      </c>
      <c r="S66" s="318">
        <v>44207</v>
      </c>
      <c r="T66" s="318">
        <v>44334</v>
      </c>
      <c r="U66" s="318">
        <v>44419</v>
      </c>
      <c r="V66" s="328">
        <v>44530</v>
      </c>
    </row>
    <row r="67" spans="1:22" ht="21.75" customHeight="1" x14ac:dyDescent="0.35">
      <c r="A67" s="184">
        <v>10770</v>
      </c>
      <c r="B67" s="198" t="s">
        <v>296</v>
      </c>
      <c r="C67" s="198" t="s">
        <v>297</v>
      </c>
      <c r="D67" s="6">
        <v>491</v>
      </c>
      <c r="E67" s="179">
        <v>288</v>
      </c>
      <c r="F67" s="179">
        <v>57</v>
      </c>
      <c r="G67" s="179">
        <v>10</v>
      </c>
      <c r="H67" s="179">
        <v>11</v>
      </c>
      <c r="I67" s="179">
        <v>0</v>
      </c>
      <c r="J67" s="180">
        <f t="shared" si="2"/>
        <v>857</v>
      </c>
      <c r="K67" s="190" t="str">
        <f t="shared" si="3"/>
        <v>S</v>
      </c>
      <c r="L67" s="191"/>
      <c r="M67" s="191"/>
      <c r="N67" s="191"/>
      <c r="O67" s="181">
        <f t="shared" si="0"/>
        <v>300000</v>
      </c>
      <c r="P67" s="175">
        <f>25000+50000+30000+27372.61</f>
        <v>132372.60999999999</v>
      </c>
      <c r="Q67" s="307">
        <f t="shared" si="4"/>
        <v>44.124203333333327</v>
      </c>
      <c r="S67" s="318">
        <v>44207</v>
      </c>
      <c r="T67" s="318">
        <v>44334</v>
      </c>
      <c r="U67" s="318">
        <v>44419</v>
      </c>
      <c r="V67" s="328">
        <v>44530</v>
      </c>
    </row>
    <row r="68" spans="1:22" ht="21.75" customHeight="1" x14ac:dyDescent="0.35">
      <c r="A68" s="184">
        <v>10770</v>
      </c>
      <c r="B68" s="196" t="s">
        <v>357</v>
      </c>
      <c r="C68" s="196" t="s">
        <v>358</v>
      </c>
      <c r="D68" s="3">
        <v>707</v>
      </c>
      <c r="E68" s="179">
        <v>313</v>
      </c>
      <c r="F68" s="179">
        <v>66</v>
      </c>
      <c r="G68" s="179">
        <v>11</v>
      </c>
      <c r="H68" s="179">
        <v>16</v>
      </c>
      <c r="I68" s="179">
        <v>2</v>
      </c>
      <c r="J68" s="180">
        <f t="shared" si="2"/>
        <v>1115</v>
      </c>
      <c r="K68" s="190" t="str">
        <f t="shared" si="3"/>
        <v>S</v>
      </c>
      <c r="L68" s="191"/>
      <c r="M68" s="191"/>
      <c r="N68" s="191"/>
      <c r="O68" s="181">
        <f t="shared" si="0"/>
        <v>300000</v>
      </c>
      <c r="P68" s="175">
        <f>25000+50000+30000+71938.03</f>
        <v>176938.03</v>
      </c>
      <c r="Q68" s="307">
        <f t="shared" si="4"/>
        <v>58.979343333333333</v>
      </c>
      <c r="S68" s="318">
        <v>44207</v>
      </c>
      <c r="T68" s="318">
        <v>44334</v>
      </c>
      <c r="U68" s="318">
        <v>44419</v>
      </c>
      <c r="V68" s="328">
        <v>44530</v>
      </c>
    </row>
    <row r="69" spans="1:22" ht="21.75" customHeight="1" x14ac:dyDescent="0.35">
      <c r="A69" s="184">
        <v>10770</v>
      </c>
      <c r="B69" s="198" t="s">
        <v>359</v>
      </c>
      <c r="C69" s="198" t="s">
        <v>360</v>
      </c>
      <c r="D69" s="6">
        <v>813</v>
      </c>
      <c r="E69" s="179">
        <v>488</v>
      </c>
      <c r="F69" s="179">
        <v>73</v>
      </c>
      <c r="G69" s="179">
        <v>5</v>
      </c>
      <c r="H69" s="179">
        <v>19</v>
      </c>
      <c r="I69" s="179">
        <v>1</v>
      </c>
      <c r="J69" s="180">
        <f t="shared" ref="J69:J132" si="5">SUM(D69:I69)</f>
        <v>1399</v>
      </c>
      <c r="K69" s="190" t="str">
        <f t="shared" si="3"/>
        <v>S</v>
      </c>
      <c r="L69" s="191"/>
      <c r="M69" s="191"/>
      <c r="N69" s="191"/>
      <c r="O69" s="181">
        <f t="shared" ref="O69:O132" si="6">VLOOKUP(J69,$O$217:$P$220,2)</f>
        <v>300000</v>
      </c>
      <c r="P69" s="175">
        <f>73900+50000+30000+66967.97</f>
        <v>220867.97</v>
      </c>
      <c r="Q69" s="307">
        <f t="shared" si="4"/>
        <v>73.622656666666671</v>
      </c>
      <c r="S69" s="318">
        <v>44207</v>
      </c>
      <c r="T69" s="318">
        <v>44334</v>
      </c>
      <c r="U69" s="318">
        <v>44419</v>
      </c>
      <c r="V69" s="328">
        <v>44530</v>
      </c>
    </row>
    <row r="70" spans="1:22" ht="21.75" customHeight="1" x14ac:dyDescent="0.35">
      <c r="A70" s="184">
        <v>10770</v>
      </c>
      <c r="B70" s="196" t="s">
        <v>298</v>
      </c>
      <c r="C70" s="196" t="s">
        <v>299</v>
      </c>
      <c r="D70" s="3">
        <v>978</v>
      </c>
      <c r="E70" s="179">
        <v>427</v>
      </c>
      <c r="F70" s="179">
        <v>116</v>
      </c>
      <c r="G70" s="179">
        <v>21</v>
      </c>
      <c r="H70" s="179">
        <v>18</v>
      </c>
      <c r="I70" s="179">
        <v>1</v>
      </c>
      <c r="J70" s="180">
        <f t="shared" si="5"/>
        <v>1561</v>
      </c>
      <c r="K70" s="190" t="str">
        <f t="shared" ref="K70:K133" si="7">VLOOKUP(J70,$N$212:$O$215,2)</f>
        <v>S</v>
      </c>
      <c r="L70" s="191"/>
      <c r="M70" s="191"/>
      <c r="N70" s="191"/>
      <c r="O70" s="181">
        <f t="shared" si="6"/>
        <v>300000</v>
      </c>
      <c r="P70" s="175">
        <f>42304+63843.2+30000+65439.48</f>
        <v>201586.68000000002</v>
      </c>
      <c r="Q70" s="307">
        <f t="shared" ref="Q70:Q85" si="8">+P70*100/O70</f>
        <v>67.195560000000015</v>
      </c>
      <c r="S70" s="318">
        <v>44207</v>
      </c>
      <c r="T70" s="318">
        <v>44334</v>
      </c>
      <c r="U70" s="318">
        <v>44419</v>
      </c>
      <c r="V70" s="328">
        <v>44530</v>
      </c>
    </row>
    <row r="71" spans="1:22" ht="21.75" customHeight="1" x14ac:dyDescent="0.35">
      <c r="A71" s="184">
        <v>10770</v>
      </c>
      <c r="B71" s="198" t="s">
        <v>300</v>
      </c>
      <c r="C71" s="198" t="s">
        <v>301</v>
      </c>
      <c r="D71" s="6">
        <v>1244</v>
      </c>
      <c r="E71" s="179">
        <v>545</v>
      </c>
      <c r="F71" s="179">
        <v>114</v>
      </c>
      <c r="G71" s="179">
        <v>19</v>
      </c>
      <c r="H71" s="179">
        <v>25</v>
      </c>
      <c r="I71" s="179">
        <v>3</v>
      </c>
      <c r="J71" s="180">
        <f t="shared" si="5"/>
        <v>1950</v>
      </c>
      <c r="K71" s="190" t="str">
        <f t="shared" si="7"/>
        <v>S</v>
      </c>
      <c r="L71" s="191"/>
      <c r="M71" s="191"/>
      <c r="N71" s="191"/>
      <c r="O71" s="181">
        <f t="shared" si="6"/>
        <v>300000</v>
      </c>
      <c r="P71" s="175">
        <f>38272+60617.6+30000+106790.44</f>
        <v>235680.04</v>
      </c>
      <c r="Q71" s="307">
        <f t="shared" si="8"/>
        <v>78.56001333333333</v>
      </c>
      <c r="S71" s="318">
        <v>44207</v>
      </c>
      <c r="T71" s="318">
        <v>44334</v>
      </c>
      <c r="U71" s="318">
        <v>44419</v>
      </c>
      <c r="V71" s="328">
        <v>44530</v>
      </c>
    </row>
    <row r="72" spans="1:22" ht="21.75" customHeight="1" x14ac:dyDescent="0.35">
      <c r="A72" s="184">
        <v>10770</v>
      </c>
      <c r="B72" s="196" t="s">
        <v>302</v>
      </c>
      <c r="C72" s="196" t="s">
        <v>303</v>
      </c>
      <c r="D72" s="3">
        <v>750</v>
      </c>
      <c r="E72" s="179">
        <v>277</v>
      </c>
      <c r="F72" s="179">
        <v>58</v>
      </c>
      <c r="G72" s="179">
        <v>11</v>
      </c>
      <c r="H72" s="179">
        <v>9</v>
      </c>
      <c r="I72" s="179">
        <v>0</v>
      </c>
      <c r="J72" s="180">
        <f t="shared" si="5"/>
        <v>1105</v>
      </c>
      <c r="K72" s="190" t="str">
        <f t="shared" si="7"/>
        <v>S</v>
      </c>
      <c r="L72" s="191"/>
      <c r="M72" s="191"/>
      <c r="N72" s="191"/>
      <c r="O72" s="181">
        <f t="shared" si="6"/>
        <v>300000</v>
      </c>
      <c r="P72" s="175">
        <f>43091.5+64473.2+30000+64053.32</f>
        <v>201618.02000000002</v>
      </c>
      <c r="Q72" s="307">
        <f t="shared" si="8"/>
        <v>67.206006666666667</v>
      </c>
      <c r="S72" s="318">
        <v>44207</v>
      </c>
      <c r="T72" s="318">
        <v>44334</v>
      </c>
      <c r="U72" s="318">
        <v>44419</v>
      </c>
      <c r="V72" s="328">
        <v>44530</v>
      </c>
    </row>
    <row r="73" spans="1:22" ht="21.75" customHeight="1" x14ac:dyDescent="0.35">
      <c r="A73" s="184">
        <v>10770</v>
      </c>
      <c r="B73" s="198" t="s">
        <v>361</v>
      </c>
      <c r="C73" s="198" t="s">
        <v>362</v>
      </c>
      <c r="D73" s="6">
        <v>1053</v>
      </c>
      <c r="E73" s="179">
        <v>551</v>
      </c>
      <c r="F73" s="179">
        <v>81</v>
      </c>
      <c r="G73" s="179">
        <v>16</v>
      </c>
      <c r="H73" s="179">
        <v>17</v>
      </c>
      <c r="I73" s="179">
        <v>2</v>
      </c>
      <c r="J73" s="180">
        <f t="shared" si="5"/>
        <v>1720</v>
      </c>
      <c r="K73" s="190" t="str">
        <f t="shared" si="7"/>
        <v>S</v>
      </c>
      <c r="L73" s="191"/>
      <c r="M73" s="191"/>
      <c r="N73" s="191"/>
      <c r="O73" s="181">
        <f t="shared" si="6"/>
        <v>300000</v>
      </c>
      <c r="P73" s="175">
        <f>25000+50000+30000+69584.49</f>
        <v>174584.49</v>
      </c>
      <c r="Q73" s="307">
        <f t="shared" si="8"/>
        <v>58.194830000000003</v>
      </c>
      <c r="S73" s="318">
        <v>44207</v>
      </c>
      <c r="T73" s="318">
        <v>44334</v>
      </c>
      <c r="U73" s="318">
        <v>44419</v>
      </c>
      <c r="V73" s="328">
        <v>44530</v>
      </c>
    </row>
    <row r="74" spans="1:22" ht="21.75" customHeight="1" x14ac:dyDescent="0.35">
      <c r="A74" s="184">
        <v>10770</v>
      </c>
      <c r="B74" s="196" t="s">
        <v>363</v>
      </c>
      <c r="C74" s="196" t="s">
        <v>364</v>
      </c>
      <c r="D74" s="3">
        <v>1369</v>
      </c>
      <c r="E74" s="179">
        <v>579</v>
      </c>
      <c r="F74" s="179">
        <v>72</v>
      </c>
      <c r="G74" s="179">
        <v>0</v>
      </c>
      <c r="H74" s="179">
        <v>11</v>
      </c>
      <c r="I74" s="179">
        <v>0</v>
      </c>
      <c r="J74" s="180">
        <f t="shared" si="5"/>
        <v>2031</v>
      </c>
      <c r="K74" s="190" t="str">
        <f t="shared" si="7"/>
        <v>S</v>
      </c>
      <c r="L74" s="191"/>
      <c r="M74" s="191"/>
      <c r="N74" s="191"/>
      <c r="O74" s="181">
        <f t="shared" si="6"/>
        <v>300000</v>
      </c>
      <c r="P74" s="175">
        <f>42346+63876.8+30000+96392.78</f>
        <v>232615.58</v>
      </c>
      <c r="Q74" s="307">
        <f t="shared" si="8"/>
        <v>77.538526666666669</v>
      </c>
      <c r="S74" s="318">
        <v>44207</v>
      </c>
      <c r="T74" s="318">
        <v>44334</v>
      </c>
      <c r="U74" s="318">
        <v>44419</v>
      </c>
      <c r="V74" s="328">
        <v>44530</v>
      </c>
    </row>
    <row r="75" spans="1:22" ht="21.75" customHeight="1" x14ac:dyDescent="0.35">
      <c r="A75" s="184">
        <v>10770</v>
      </c>
      <c r="B75" s="198" t="s">
        <v>365</v>
      </c>
      <c r="C75" s="198" t="s">
        <v>366</v>
      </c>
      <c r="D75" s="6">
        <v>1436</v>
      </c>
      <c r="E75" s="179">
        <v>491</v>
      </c>
      <c r="F75" s="179">
        <v>69</v>
      </c>
      <c r="G75" s="179">
        <v>2</v>
      </c>
      <c r="H75" s="179">
        <v>13</v>
      </c>
      <c r="I75" s="179">
        <v>5</v>
      </c>
      <c r="J75" s="180">
        <f t="shared" si="5"/>
        <v>2016</v>
      </c>
      <c r="K75" s="190" t="str">
        <f t="shared" si="7"/>
        <v>S</v>
      </c>
      <c r="L75" s="191"/>
      <c r="M75" s="191"/>
      <c r="N75" s="191"/>
      <c r="O75" s="181">
        <f t="shared" si="6"/>
        <v>300000</v>
      </c>
      <c r="P75" s="175">
        <f>55576+74460.8+30000+96687.01</f>
        <v>256723.81</v>
      </c>
      <c r="Q75" s="307">
        <f t="shared" si="8"/>
        <v>85.574603333333329</v>
      </c>
      <c r="S75" s="318">
        <v>44207</v>
      </c>
      <c r="T75" s="318">
        <v>44334</v>
      </c>
      <c r="U75" s="318">
        <v>44419</v>
      </c>
      <c r="V75" s="328">
        <v>44530</v>
      </c>
    </row>
    <row r="76" spans="1:22" ht="21.75" customHeight="1" x14ac:dyDescent="0.35">
      <c r="A76" s="184">
        <v>10770</v>
      </c>
      <c r="B76" s="196" t="s">
        <v>367</v>
      </c>
      <c r="C76" s="196" t="s">
        <v>368</v>
      </c>
      <c r="D76" s="3">
        <v>2814</v>
      </c>
      <c r="E76" s="179">
        <v>1212</v>
      </c>
      <c r="F76" s="179">
        <v>328</v>
      </c>
      <c r="G76" s="179">
        <v>25</v>
      </c>
      <c r="H76" s="179">
        <v>67</v>
      </c>
      <c r="I76" s="179">
        <v>16</v>
      </c>
      <c r="J76" s="180">
        <f t="shared" si="5"/>
        <v>4462</v>
      </c>
      <c r="K76" s="190" t="str">
        <f t="shared" si="7"/>
        <v>M</v>
      </c>
      <c r="L76" s="191"/>
      <c r="M76" s="191"/>
      <c r="N76" s="191"/>
      <c r="O76" s="181">
        <f t="shared" si="6"/>
        <v>330000</v>
      </c>
      <c r="P76" s="175">
        <f>25000+50000+30000+124181.88</f>
        <v>229181.88</v>
      </c>
      <c r="Q76" s="307">
        <f t="shared" si="8"/>
        <v>69.449054545454544</v>
      </c>
      <c r="S76" s="318">
        <v>44207</v>
      </c>
      <c r="T76" s="318">
        <v>44334</v>
      </c>
      <c r="U76" s="318">
        <v>44419</v>
      </c>
      <c r="V76" s="328">
        <v>44530</v>
      </c>
    </row>
    <row r="77" spans="1:22" ht="21.75" customHeight="1" x14ac:dyDescent="0.35">
      <c r="A77" s="184">
        <v>10770</v>
      </c>
      <c r="B77" s="198" t="s">
        <v>369</v>
      </c>
      <c r="C77" s="198" t="s">
        <v>370</v>
      </c>
      <c r="D77" s="6">
        <v>1846</v>
      </c>
      <c r="E77" s="179">
        <v>908</v>
      </c>
      <c r="F77" s="179">
        <v>324</v>
      </c>
      <c r="G77" s="179">
        <v>19</v>
      </c>
      <c r="H77" s="179">
        <v>57</v>
      </c>
      <c r="I77" s="179">
        <v>4</v>
      </c>
      <c r="J77" s="180">
        <f t="shared" si="5"/>
        <v>3158</v>
      </c>
      <c r="K77" s="190" t="str">
        <f t="shared" si="7"/>
        <v>M</v>
      </c>
      <c r="L77" s="191"/>
      <c r="M77" s="191"/>
      <c r="N77" s="191"/>
      <c r="O77" s="181">
        <f t="shared" si="6"/>
        <v>330000</v>
      </c>
      <c r="P77" s="175">
        <f>42346+63876.8+30000+115066.36</f>
        <v>251289.15999999997</v>
      </c>
      <c r="Q77" s="307">
        <f t="shared" si="8"/>
        <v>76.148230303030289</v>
      </c>
      <c r="S77" s="318">
        <v>44207</v>
      </c>
      <c r="T77" s="318">
        <v>44334</v>
      </c>
      <c r="U77" s="318">
        <v>44419</v>
      </c>
      <c r="V77" s="328">
        <v>44530</v>
      </c>
    </row>
    <row r="78" spans="1:22" ht="21.75" customHeight="1" x14ac:dyDescent="0.35">
      <c r="A78" s="184">
        <v>10770</v>
      </c>
      <c r="B78" s="196" t="s">
        <v>371</v>
      </c>
      <c r="C78" s="196" t="s">
        <v>283</v>
      </c>
      <c r="D78" s="3">
        <v>887</v>
      </c>
      <c r="E78" s="179">
        <v>386</v>
      </c>
      <c r="F78" s="179">
        <v>94</v>
      </c>
      <c r="G78" s="179">
        <v>8</v>
      </c>
      <c r="H78" s="179">
        <v>14</v>
      </c>
      <c r="I78" s="179">
        <v>2</v>
      </c>
      <c r="J78" s="180">
        <f t="shared" si="5"/>
        <v>1391</v>
      </c>
      <c r="K78" s="190" t="str">
        <f t="shared" si="7"/>
        <v>S</v>
      </c>
      <c r="L78" s="191"/>
      <c r="M78" s="191"/>
      <c r="N78" s="191"/>
      <c r="O78" s="181">
        <f t="shared" si="6"/>
        <v>300000</v>
      </c>
      <c r="P78" s="175">
        <f>25000+50000+30000+51332.63</f>
        <v>156332.63</v>
      </c>
      <c r="Q78" s="307">
        <f t="shared" si="8"/>
        <v>52.11087666666667</v>
      </c>
      <c r="S78" s="318">
        <v>44207</v>
      </c>
      <c r="T78" s="318">
        <v>44334</v>
      </c>
      <c r="U78" s="318">
        <v>44419</v>
      </c>
      <c r="V78" s="328">
        <v>44530</v>
      </c>
    </row>
    <row r="79" spans="1:22" ht="21.75" customHeight="1" x14ac:dyDescent="0.35">
      <c r="A79" s="184">
        <v>10770</v>
      </c>
      <c r="B79" s="198" t="s">
        <v>491</v>
      </c>
      <c r="C79" s="198" t="s">
        <v>492</v>
      </c>
      <c r="D79" s="6">
        <v>1225</v>
      </c>
      <c r="E79" s="179">
        <v>806</v>
      </c>
      <c r="F79" s="179">
        <v>68</v>
      </c>
      <c r="G79" s="179">
        <v>26</v>
      </c>
      <c r="H79" s="179">
        <v>20</v>
      </c>
      <c r="I79" s="179">
        <v>3</v>
      </c>
      <c r="J79" s="180">
        <f t="shared" si="5"/>
        <v>2148</v>
      </c>
      <c r="K79" s="190" t="str">
        <f t="shared" si="7"/>
        <v>S</v>
      </c>
      <c r="L79" s="191"/>
      <c r="M79" s="191"/>
      <c r="N79" s="191"/>
      <c r="O79" s="181">
        <f t="shared" si="6"/>
        <v>300000</v>
      </c>
      <c r="P79" s="175">
        <f>38870.5+61096.4+30000+130582.55</f>
        <v>260549.45</v>
      </c>
      <c r="Q79" s="307">
        <f t="shared" si="8"/>
        <v>86.849816666666669</v>
      </c>
      <c r="S79" s="318">
        <v>44207</v>
      </c>
      <c r="T79" s="318">
        <v>44334</v>
      </c>
      <c r="U79" s="318">
        <v>44419</v>
      </c>
      <c r="V79" s="328">
        <v>44530</v>
      </c>
    </row>
    <row r="80" spans="1:22" ht="21.75" customHeight="1" x14ac:dyDescent="0.35">
      <c r="A80" s="184">
        <v>10770</v>
      </c>
      <c r="B80" s="196" t="s">
        <v>493</v>
      </c>
      <c r="C80" s="196" t="s">
        <v>494</v>
      </c>
      <c r="D80" s="3">
        <v>1414</v>
      </c>
      <c r="E80" s="179">
        <v>255</v>
      </c>
      <c r="F80" s="179">
        <v>33</v>
      </c>
      <c r="G80" s="179">
        <v>18</v>
      </c>
      <c r="H80" s="179">
        <v>10</v>
      </c>
      <c r="I80" s="179">
        <v>1</v>
      </c>
      <c r="J80" s="180">
        <f t="shared" si="5"/>
        <v>1731</v>
      </c>
      <c r="K80" s="190" t="str">
        <f t="shared" si="7"/>
        <v>S</v>
      </c>
      <c r="L80" s="191"/>
      <c r="M80" s="191"/>
      <c r="N80" s="191"/>
      <c r="O80" s="181">
        <f t="shared" si="6"/>
        <v>300000</v>
      </c>
      <c r="P80" s="175">
        <f>25000+50000+30000+95926.28</f>
        <v>200926.28</v>
      </c>
      <c r="Q80" s="307">
        <f t="shared" si="8"/>
        <v>66.975426666666664</v>
      </c>
      <c r="S80" s="318">
        <v>44207</v>
      </c>
      <c r="T80" s="318">
        <v>44334</v>
      </c>
      <c r="U80" s="318">
        <v>44419</v>
      </c>
      <c r="V80" s="328">
        <v>44530</v>
      </c>
    </row>
    <row r="81" spans="1:22" ht="21.75" customHeight="1" x14ac:dyDescent="0.35">
      <c r="A81" s="184">
        <v>10770</v>
      </c>
      <c r="B81" s="196" t="s">
        <v>495</v>
      </c>
      <c r="C81" s="196" t="s">
        <v>496</v>
      </c>
      <c r="D81" s="3">
        <v>1557</v>
      </c>
      <c r="E81" s="179">
        <v>961</v>
      </c>
      <c r="F81" s="179">
        <v>231</v>
      </c>
      <c r="G81" s="179">
        <v>47</v>
      </c>
      <c r="H81" s="179">
        <v>44</v>
      </c>
      <c r="I81" s="179">
        <v>6</v>
      </c>
      <c r="J81" s="180">
        <f t="shared" si="5"/>
        <v>2846</v>
      </c>
      <c r="K81" s="190" t="str">
        <f t="shared" si="7"/>
        <v>S</v>
      </c>
      <c r="L81" s="191"/>
      <c r="M81" s="191"/>
      <c r="N81" s="191"/>
      <c r="O81" s="181">
        <f t="shared" si="6"/>
        <v>300000</v>
      </c>
      <c r="P81" s="175">
        <f>25000+50000+30000+59727.64</f>
        <v>164727.64000000001</v>
      </c>
      <c r="Q81" s="307">
        <f t="shared" si="8"/>
        <v>54.909213333333341</v>
      </c>
      <c r="S81" s="318">
        <v>44207</v>
      </c>
      <c r="T81" s="318">
        <v>44334</v>
      </c>
      <c r="U81" s="318">
        <v>44419</v>
      </c>
      <c r="V81" s="328">
        <v>44530</v>
      </c>
    </row>
    <row r="82" spans="1:22" ht="21.75" customHeight="1" x14ac:dyDescent="0.35">
      <c r="A82" s="184">
        <v>10770</v>
      </c>
      <c r="B82" s="198" t="s">
        <v>497</v>
      </c>
      <c r="C82" s="198" t="s">
        <v>498</v>
      </c>
      <c r="D82" s="6">
        <v>721</v>
      </c>
      <c r="E82" s="179">
        <v>505</v>
      </c>
      <c r="F82" s="179">
        <v>120</v>
      </c>
      <c r="G82" s="179">
        <v>8</v>
      </c>
      <c r="H82" s="179">
        <v>19</v>
      </c>
      <c r="I82" s="179">
        <v>0</v>
      </c>
      <c r="J82" s="180">
        <f t="shared" si="5"/>
        <v>1373</v>
      </c>
      <c r="K82" s="190" t="str">
        <f t="shared" si="7"/>
        <v>S</v>
      </c>
      <c r="L82" s="191"/>
      <c r="M82" s="191"/>
      <c r="N82" s="191"/>
      <c r="O82" s="181">
        <f t="shared" si="6"/>
        <v>300000</v>
      </c>
      <c r="P82" s="175">
        <f>42997+64397.6+30000+76081.84</f>
        <v>213476.44</v>
      </c>
      <c r="Q82" s="307">
        <f t="shared" si="8"/>
        <v>71.158813333333327</v>
      </c>
      <c r="S82" s="318">
        <v>44207</v>
      </c>
      <c r="T82" s="318">
        <v>44334</v>
      </c>
      <c r="U82" s="318">
        <v>44419</v>
      </c>
      <c r="V82" s="328">
        <v>44530</v>
      </c>
    </row>
    <row r="83" spans="1:22" ht="21.75" customHeight="1" x14ac:dyDescent="0.35">
      <c r="A83" s="184">
        <v>10770</v>
      </c>
      <c r="B83" s="196" t="s">
        <v>499</v>
      </c>
      <c r="C83" s="196" t="s">
        <v>500</v>
      </c>
      <c r="D83" s="3">
        <v>854</v>
      </c>
      <c r="E83" s="179">
        <v>528</v>
      </c>
      <c r="F83" s="179">
        <v>84</v>
      </c>
      <c r="G83" s="179">
        <v>15</v>
      </c>
      <c r="H83" s="179">
        <v>21</v>
      </c>
      <c r="I83" s="179">
        <v>0</v>
      </c>
      <c r="J83" s="180">
        <f t="shared" si="5"/>
        <v>1502</v>
      </c>
      <c r="K83" s="190" t="str">
        <f t="shared" si="7"/>
        <v>S</v>
      </c>
      <c r="L83" s="191"/>
      <c r="M83" s="191"/>
      <c r="N83" s="191"/>
      <c r="O83" s="181">
        <f t="shared" si="6"/>
        <v>300000</v>
      </c>
      <c r="P83" s="175">
        <f>25000+50000+30000+78437.45</f>
        <v>183437.45</v>
      </c>
      <c r="Q83" s="307">
        <f t="shared" si="8"/>
        <v>61.145816666666668</v>
      </c>
      <c r="S83" s="318">
        <v>44207</v>
      </c>
      <c r="T83" s="318">
        <v>44334</v>
      </c>
      <c r="U83" s="318">
        <v>44419</v>
      </c>
      <c r="V83" s="328">
        <v>44530</v>
      </c>
    </row>
    <row r="84" spans="1:22" ht="21.75" customHeight="1" x14ac:dyDescent="0.35">
      <c r="A84" s="184">
        <v>10770</v>
      </c>
      <c r="B84" s="198" t="s">
        <v>372</v>
      </c>
      <c r="C84" s="198" t="s">
        <v>373</v>
      </c>
      <c r="D84" s="6">
        <v>1484</v>
      </c>
      <c r="E84" s="179">
        <v>634</v>
      </c>
      <c r="F84" s="179">
        <v>210</v>
      </c>
      <c r="G84" s="179">
        <v>21</v>
      </c>
      <c r="H84" s="179">
        <v>19</v>
      </c>
      <c r="I84" s="179">
        <v>3</v>
      </c>
      <c r="J84" s="180">
        <f t="shared" si="5"/>
        <v>2371</v>
      </c>
      <c r="K84" s="190" t="str">
        <f t="shared" si="7"/>
        <v>S</v>
      </c>
      <c r="L84" s="191"/>
      <c r="M84" s="191"/>
      <c r="N84" s="191"/>
      <c r="O84" s="181">
        <f t="shared" si="6"/>
        <v>300000</v>
      </c>
      <c r="P84" s="175">
        <f>105199+121442+30000+52062.72</f>
        <v>308703.71999999997</v>
      </c>
      <c r="Q84" s="307">
        <f t="shared" si="8"/>
        <v>102.90123999999999</v>
      </c>
      <c r="S84" s="318">
        <v>44207</v>
      </c>
      <c r="T84" s="318">
        <v>44334</v>
      </c>
      <c r="U84" s="318">
        <v>44419</v>
      </c>
      <c r="V84" s="328">
        <v>44530</v>
      </c>
    </row>
    <row r="85" spans="1:22" ht="21.75" customHeight="1" x14ac:dyDescent="0.35">
      <c r="A85" s="184">
        <v>10771</v>
      </c>
      <c r="B85" s="198" t="s">
        <v>503</v>
      </c>
      <c r="C85" s="198" t="s">
        <v>504</v>
      </c>
      <c r="D85" s="9">
        <v>529</v>
      </c>
      <c r="E85" s="179">
        <v>290</v>
      </c>
      <c r="F85" s="179">
        <v>139</v>
      </c>
      <c r="G85" s="179">
        <v>11</v>
      </c>
      <c r="H85" s="179">
        <v>19</v>
      </c>
      <c r="I85" s="179">
        <v>4</v>
      </c>
      <c r="J85" s="180">
        <f t="shared" si="5"/>
        <v>992</v>
      </c>
      <c r="K85" s="190" t="str">
        <f t="shared" si="7"/>
        <v>S</v>
      </c>
      <c r="L85" s="191"/>
      <c r="M85" s="191"/>
      <c r="N85" s="191"/>
      <c r="O85" s="181">
        <f t="shared" si="6"/>
        <v>300000</v>
      </c>
      <c r="P85" s="249">
        <f>50000+50000+42000</f>
        <v>142000</v>
      </c>
      <c r="Q85" s="307">
        <f t="shared" si="8"/>
        <v>47.333333333333336</v>
      </c>
      <c r="S85" s="318">
        <v>44185</v>
      </c>
      <c r="T85" s="318">
        <v>44286</v>
      </c>
      <c r="U85" s="318">
        <v>44468</v>
      </c>
      <c r="V85" s="318"/>
    </row>
    <row r="86" spans="1:22" ht="21.75" customHeight="1" x14ac:dyDescent="0.35">
      <c r="A86" s="184">
        <v>10771</v>
      </c>
      <c r="B86" s="196" t="s">
        <v>505</v>
      </c>
      <c r="C86" s="196" t="s">
        <v>506</v>
      </c>
      <c r="D86" s="4">
        <v>1048</v>
      </c>
      <c r="E86" s="179">
        <v>400</v>
      </c>
      <c r="F86" s="179">
        <v>186</v>
      </c>
      <c r="G86" s="179">
        <v>6</v>
      </c>
      <c r="H86" s="179">
        <v>18</v>
      </c>
      <c r="I86" s="179">
        <v>1</v>
      </c>
      <c r="J86" s="180">
        <f t="shared" si="5"/>
        <v>1659</v>
      </c>
      <c r="K86" s="190" t="str">
        <f t="shared" si="7"/>
        <v>S</v>
      </c>
      <c r="L86" s="191"/>
      <c r="M86" s="191"/>
      <c r="N86" s="191"/>
      <c r="O86" s="181">
        <f t="shared" si="6"/>
        <v>300000</v>
      </c>
      <c r="P86" s="249">
        <f>50000+50000+106000</f>
        <v>206000</v>
      </c>
      <c r="Q86" s="307">
        <f t="shared" ref="Q86:Q149" si="9">+P86*100/O86</f>
        <v>68.666666666666671</v>
      </c>
      <c r="S86" s="318">
        <v>44185</v>
      </c>
      <c r="T86" s="318">
        <v>44286</v>
      </c>
      <c r="U86" s="318">
        <v>44468</v>
      </c>
      <c r="V86" s="318"/>
    </row>
    <row r="87" spans="1:22" ht="21.75" customHeight="1" x14ac:dyDescent="0.35">
      <c r="A87" s="184">
        <v>10771</v>
      </c>
      <c r="B87" s="198" t="s">
        <v>304</v>
      </c>
      <c r="C87" s="198" t="s">
        <v>305</v>
      </c>
      <c r="D87" s="9">
        <v>1591</v>
      </c>
      <c r="E87" s="179">
        <v>555</v>
      </c>
      <c r="F87" s="179">
        <v>352</v>
      </c>
      <c r="G87" s="179">
        <v>29</v>
      </c>
      <c r="H87" s="179">
        <v>46</v>
      </c>
      <c r="I87" s="179">
        <v>10</v>
      </c>
      <c r="J87" s="180">
        <f t="shared" si="5"/>
        <v>2583</v>
      </c>
      <c r="K87" s="190" t="str">
        <f t="shared" si="7"/>
        <v>S</v>
      </c>
      <c r="L87" s="191"/>
      <c r="M87" s="191"/>
      <c r="N87" s="191"/>
      <c r="O87" s="181">
        <f t="shared" si="6"/>
        <v>300000</v>
      </c>
      <c r="P87" s="249">
        <f>50000+50000+105000</f>
        <v>205000</v>
      </c>
      <c r="Q87" s="307">
        <f t="shared" si="9"/>
        <v>68.333333333333329</v>
      </c>
      <c r="S87" s="318">
        <v>44185</v>
      </c>
      <c r="T87" s="318">
        <v>44286</v>
      </c>
      <c r="U87" s="318">
        <v>44468</v>
      </c>
      <c r="V87" s="318"/>
    </row>
    <row r="88" spans="1:22" ht="21.75" customHeight="1" x14ac:dyDescent="0.35">
      <c r="A88" s="184">
        <v>10771</v>
      </c>
      <c r="B88" s="198" t="s">
        <v>507</v>
      </c>
      <c r="C88" s="198" t="s">
        <v>508</v>
      </c>
      <c r="D88" s="9">
        <v>3163</v>
      </c>
      <c r="E88" s="179">
        <v>1110</v>
      </c>
      <c r="F88" s="179">
        <v>449</v>
      </c>
      <c r="G88" s="179">
        <v>57</v>
      </c>
      <c r="H88" s="179">
        <v>56</v>
      </c>
      <c r="I88" s="179">
        <v>10</v>
      </c>
      <c r="J88" s="180">
        <f t="shared" si="5"/>
        <v>4845</v>
      </c>
      <c r="K88" s="190" t="str">
        <f t="shared" si="7"/>
        <v>M</v>
      </c>
      <c r="L88" s="191"/>
      <c r="M88" s="191"/>
      <c r="N88" s="191"/>
      <c r="O88" s="181">
        <f t="shared" si="6"/>
        <v>330000</v>
      </c>
      <c r="P88" s="249">
        <f>50000+50000+169000</f>
        <v>269000</v>
      </c>
      <c r="Q88" s="307">
        <f t="shared" si="9"/>
        <v>81.515151515151516</v>
      </c>
      <c r="S88" s="318">
        <v>44185</v>
      </c>
      <c r="T88" s="318">
        <v>44286</v>
      </c>
      <c r="U88" s="318">
        <v>44468</v>
      </c>
      <c r="V88" s="318"/>
    </row>
    <row r="89" spans="1:22" ht="21.75" customHeight="1" x14ac:dyDescent="0.35">
      <c r="A89" s="184">
        <v>10771</v>
      </c>
      <c r="B89" s="196" t="s">
        <v>509</v>
      </c>
      <c r="C89" s="196" t="s">
        <v>510</v>
      </c>
      <c r="D89" s="4">
        <v>1406</v>
      </c>
      <c r="E89" s="179">
        <v>543</v>
      </c>
      <c r="F89" s="179">
        <v>310</v>
      </c>
      <c r="G89" s="179">
        <v>18</v>
      </c>
      <c r="H89" s="179">
        <v>36</v>
      </c>
      <c r="I89" s="179">
        <v>1</v>
      </c>
      <c r="J89" s="180">
        <f t="shared" si="5"/>
        <v>2314</v>
      </c>
      <c r="K89" s="190" t="str">
        <f t="shared" si="7"/>
        <v>S</v>
      </c>
      <c r="L89" s="191"/>
      <c r="M89" s="191"/>
      <c r="N89" s="191"/>
      <c r="O89" s="181">
        <f t="shared" si="6"/>
        <v>300000</v>
      </c>
      <c r="P89" s="249">
        <f>50000+50000+109000</f>
        <v>209000</v>
      </c>
      <c r="Q89" s="307">
        <f t="shared" si="9"/>
        <v>69.666666666666671</v>
      </c>
      <c r="S89" s="318">
        <v>44185</v>
      </c>
      <c r="T89" s="318">
        <v>44286</v>
      </c>
      <c r="U89" s="318">
        <v>44468</v>
      </c>
      <c r="V89" s="318"/>
    </row>
    <row r="90" spans="1:22" ht="21.75" customHeight="1" x14ac:dyDescent="0.35">
      <c r="A90" s="184">
        <v>10771</v>
      </c>
      <c r="B90" s="198" t="s">
        <v>511</v>
      </c>
      <c r="C90" s="198" t="s">
        <v>512</v>
      </c>
      <c r="D90" s="9">
        <v>1179</v>
      </c>
      <c r="E90" s="179">
        <v>602</v>
      </c>
      <c r="F90" s="179">
        <v>139</v>
      </c>
      <c r="G90" s="179">
        <v>19</v>
      </c>
      <c r="H90" s="179">
        <v>23</v>
      </c>
      <c r="I90" s="179">
        <v>3</v>
      </c>
      <c r="J90" s="180">
        <f t="shared" si="5"/>
        <v>1965</v>
      </c>
      <c r="K90" s="190" t="str">
        <f t="shared" si="7"/>
        <v>S</v>
      </c>
      <c r="L90" s="191"/>
      <c r="M90" s="191"/>
      <c r="N90" s="191"/>
      <c r="O90" s="181">
        <f t="shared" si="6"/>
        <v>300000</v>
      </c>
      <c r="P90" s="249">
        <f>50000+50000+99000</f>
        <v>199000</v>
      </c>
      <c r="Q90" s="307">
        <f t="shared" si="9"/>
        <v>66.333333333333329</v>
      </c>
      <c r="S90" s="318">
        <v>44185</v>
      </c>
      <c r="T90" s="318">
        <v>44286</v>
      </c>
      <c r="U90" s="318">
        <v>44468</v>
      </c>
      <c r="V90" s="318"/>
    </row>
    <row r="91" spans="1:22" ht="21.75" customHeight="1" x14ac:dyDescent="0.35">
      <c r="A91" s="184">
        <v>10771</v>
      </c>
      <c r="B91" s="196" t="s">
        <v>374</v>
      </c>
      <c r="C91" s="196" t="s">
        <v>375</v>
      </c>
      <c r="D91" s="4">
        <v>2496</v>
      </c>
      <c r="E91" s="179">
        <v>1012</v>
      </c>
      <c r="F91" s="179">
        <v>337</v>
      </c>
      <c r="G91" s="179">
        <v>41</v>
      </c>
      <c r="H91" s="179">
        <v>51</v>
      </c>
      <c r="I91" s="179">
        <v>8</v>
      </c>
      <c r="J91" s="180">
        <f t="shared" si="5"/>
        <v>3945</v>
      </c>
      <c r="K91" s="190" t="str">
        <f t="shared" si="7"/>
        <v>M</v>
      </c>
      <c r="L91" s="191"/>
      <c r="M91" s="191"/>
      <c r="N91" s="191"/>
      <c r="O91" s="181">
        <f t="shared" si="6"/>
        <v>330000</v>
      </c>
      <c r="P91" s="249">
        <f>50000+50000+100000</f>
        <v>200000</v>
      </c>
      <c r="Q91" s="307">
        <f t="shared" si="9"/>
        <v>60.606060606060609</v>
      </c>
      <c r="S91" s="318">
        <v>44185</v>
      </c>
      <c r="T91" s="318">
        <v>44286</v>
      </c>
      <c r="U91" s="318">
        <v>44468</v>
      </c>
      <c r="V91" s="318"/>
    </row>
    <row r="92" spans="1:22" ht="21.75" customHeight="1" x14ac:dyDescent="0.35">
      <c r="A92" s="184">
        <v>10771</v>
      </c>
      <c r="B92" s="198" t="s">
        <v>376</v>
      </c>
      <c r="C92" s="198" t="s">
        <v>377</v>
      </c>
      <c r="D92" s="9">
        <v>1359</v>
      </c>
      <c r="E92" s="179">
        <v>643</v>
      </c>
      <c r="F92" s="179">
        <v>154</v>
      </c>
      <c r="G92" s="179">
        <v>20</v>
      </c>
      <c r="H92" s="179">
        <v>38</v>
      </c>
      <c r="I92" s="179">
        <v>4</v>
      </c>
      <c r="J92" s="180">
        <f t="shared" si="5"/>
        <v>2218</v>
      </c>
      <c r="K92" s="190" t="str">
        <f t="shared" si="7"/>
        <v>S</v>
      </c>
      <c r="L92" s="191"/>
      <c r="M92" s="191"/>
      <c r="N92" s="191"/>
      <c r="O92" s="181">
        <f t="shared" si="6"/>
        <v>300000</v>
      </c>
      <c r="P92" s="249">
        <f>50000+50000+82000</f>
        <v>182000</v>
      </c>
      <c r="Q92" s="307">
        <f t="shared" si="9"/>
        <v>60.666666666666664</v>
      </c>
      <c r="S92" s="318">
        <v>44185</v>
      </c>
      <c r="T92" s="318">
        <v>44286</v>
      </c>
      <c r="U92" s="318">
        <v>44468</v>
      </c>
      <c r="V92" s="318"/>
    </row>
    <row r="93" spans="1:22" ht="21.75" customHeight="1" x14ac:dyDescent="0.35">
      <c r="A93" s="184">
        <v>10771</v>
      </c>
      <c r="B93" s="196" t="s">
        <v>378</v>
      </c>
      <c r="C93" s="196" t="s">
        <v>379</v>
      </c>
      <c r="D93" s="4">
        <v>595</v>
      </c>
      <c r="E93" s="179">
        <v>277</v>
      </c>
      <c r="F93" s="179">
        <v>94</v>
      </c>
      <c r="G93" s="179">
        <v>11</v>
      </c>
      <c r="H93" s="179">
        <v>13</v>
      </c>
      <c r="I93" s="179">
        <v>1</v>
      </c>
      <c r="J93" s="180">
        <f t="shared" si="5"/>
        <v>991</v>
      </c>
      <c r="K93" s="190" t="str">
        <f t="shared" si="7"/>
        <v>S</v>
      </c>
      <c r="L93" s="191"/>
      <c r="M93" s="191"/>
      <c r="N93" s="191"/>
      <c r="O93" s="181">
        <f t="shared" si="6"/>
        <v>300000</v>
      </c>
      <c r="P93" s="249">
        <f>50000+50000+42000</f>
        <v>142000</v>
      </c>
      <c r="Q93" s="307">
        <f t="shared" si="9"/>
        <v>47.333333333333336</v>
      </c>
      <c r="S93" s="318">
        <v>44185</v>
      </c>
      <c r="T93" s="318">
        <v>44286</v>
      </c>
      <c r="U93" s="318">
        <v>44468</v>
      </c>
      <c r="V93" s="318"/>
    </row>
    <row r="94" spans="1:22" ht="21.75" customHeight="1" x14ac:dyDescent="0.35">
      <c r="A94" s="184">
        <v>10771</v>
      </c>
      <c r="B94" s="198" t="s">
        <v>513</v>
      </c>
      <c r="C94" s="198" t="s">
        <v>514</v>
      </c>
      <c r="D94" s="9">
        <v>808</v>
      </c>
      <c r="E94" s="179">
        <v>434</v>
      </c>
      <c r="F94" s="179">
        <v>167</v>
      </c>
      <c r="G94" s="179">
        <v>4</v>
      </c>
      <c r="H94" s="179">
        <v>12</v>
      </c>
      <c r="I94" s="179">
        <v>2</v>
      </c>
      <c r="J94" s="180">
        <f t="shared" si="5"/>
        <v>1427</v>
      </c>
      <c r="K94" s="190" t="str">
        <f t="shared" si="7"/>
        <v>S</v>
      </c>
      <c r="L94" s="191"/>
      <c r="M94" s="191"/>
      <c r="N94" s="191"/>
      <c r="O94" s="181">
        <f t="shared" si="6"/>
        <v>300000</v>
      </c>
      <c r="P94" s="249">
        <f>50000+50000+42000</f>
        <v>142000</v>
      </c>
      <c r="Q94" s="307">
        <f t="shared" si="9"/>
        <v>47.333333333333336</v>
      </c>
      <c r="S94" s="318">
        <v>44185</v>
      </c>
      <c r="T94" s="318">
        <v>44286</v>
      </c>
      <c r="U94" s="318">
        <v>44468</v>
      </c>
      <c r="V94" s="318"/>
    </row>
    <row r="95" spans="1:22" ht="21.75" customHeight="1" x14ac:dyDescent="0.35">
      <c r="A95" s="184">
        <v>10771</v>
      </c>
      <c r="B95" s="196" t="s">
        <v>515</v>
      </c>
      <c r="C95" s="196" t="s">
        <v>516</v>
      </c>
      <c r="D95" s="4">
        <v>448</v>
      </c>
      <c r="E95" s="179">
        <v>240</v>
      </c>
      <c r="F95" s="179">
        <v>117</v>
      </c>
      <c r="G95" s="179">
        <v>7</v>
      </c>
      <c r="H95" s="179">
        <v>18</v>
      </c>
      <c r="I95" s="179">
        <v>5</v>
      </c>
      <c r="J95" s="180">
        <f t="shared" si="5"/>
        <v>835</v>
      </c>
      <c r="K95" s="190" t="str">
        <f t="shared" si="7"/>
        <v>S</v>
      </c>
      <c r="L95" s="191"/>
      <c r="M95" s="191"/>
      <c r="N95" s="191"/>
      <c r="O95" s="181">
        <f t="shared" si="6"/>
        <v>300000</v>
      </c>
      <c r="P95" s="249">
        <f>50000+50000+122000</f>
        <v>222000</v>
      </c>
      <c r="Q95" s="307">
        <f t="shared" si="9"/>
        <v>74</v>
      </c>
      <c r="S95" s="318">
        <v>44185</v>
      </c>
      <c r="T95" s="318">
        <v>44286</v>
      </c>
      <c r="U95" s="318">
        <v>44468</v>
      </c>
      <c r="V95" s="318"/>
    </row>
    <row r="96" spans="1:22" ht="21.75" customHeight="1" x14ac:dyDescent="0.35">
      <c r="A96" s="184">
        <v>10771</v>
      </c>
      <c r="B96" s="198" t="s">
        <v>517</v>
      </c>
      <c r="C96" s="198" t="s">
        <v>518</v>
      </c>
      <c r="D96" s="9">
        <v>374</v>
      </c>
      <c r="E96" s="179">
        <v>196</v>
      </c>
      <c r="F96" s="179">
        <v>66</v>
      </c>
      <c r="G96" s="179">
        <v>11</v>
      </c>
      <c r="H96" s="179">
        <v>5</v>
      </c>
      <c r="I96" s="179">
        <v>0</v>
      </c>
      <c r="J96" s="180">
        <f t="shared" si="5"/>
        <v>652</v>
      </c>
      <c r="K96" s="190" t="str">
        <f t="shared" si="7"/>
        <v>S</v>
      </c>
      <c r="L96" s="191"/>
      <c r="M96" s="191"/>
      <c r="N96" s="191"/>
      <c r="O96" s="181">
        <f t="shared" si="6"/>
        <v>300000</v>
      </c>
      <c r="P96" s="249">
        <f>50000+50000+82000</f>
        <v>182000</v>
      </c>
      <c r="Q96" s="307">
        <f t="shared" si="9"/>
        <v>60.666666666666664</v>
      </c>
      <c r="S96" s="318">
        <v>44185</v>
      </c>
      <c r="T96" s="318">
        <v>44286</v>
      </c>
      <c r="U96" s="318">
        <v>44468</v>
      </c>
      <c r="V96" s="318"/>
    </row>
    <row r="97" spans="1:23" ht="21.75" customHeight="1" x14ac:dyDescent="0.35">
      <c r="A97" s="184">
        <v>10771</v>
      </c>
      <c r="B97" s="196" t="s">
        <v>519</v>
      </c>
      <c r="C97" s="196" t="s">
        <v>520</v>
      </c>
      <c r="D97" s="4">
        <v>702</v>
      </c>
      <c r="E97" s="179">
        <v>406</v>
      </c>
      <c r="F97" s="179">
        <v>119</v>
      </c>
      <c r="G97" s="179">
        <v>13</v>
      </c>
      <c r="H97" s="179">
        <v>22</v>
      </c>
      <c r="I97" s="179">
        <v>4</v>
      </c>
      <c r="J97" s="180">
        <f t="shared" si="5"/>
        <v>1266</v>
      </c>
      <c r="K97" s="190" t="str">
        <f t="shared" si="7"/>
        <v>S</v>
      </c>
      <c r="L97" s="191"/>
      <c r="M97" s="191"/>
      <c r="N97" s="191"/>
      <c r="O97" s="181">
        <f t="shared" si="6"/>
        <v>300000</v>
      </c>
      <c r="P97" s="249">
        <f>50000+50000+92000</f>
        <v>192000</v>
      </c>
      <c r="Q97" s="307">
        <f t="shared" si="9"/>
        <v>64</v>
      </c>
      <c r="S97" s="318">
        <v>44185</v>
      </c>
      <c r="T97" s="318">
        <v>44286</v>
      </c>
      <c r="U97" s="318">
        <v>44468</v>
      </c>
      <c r="V97" s="318"/>
    </row>
    <row r="98" spans="1:23" ht="21.75" customHeight="1" x14ac:dyDescent="0.35">
      <c r="A98" s="184">
        <v>10771</v>
      </c>
      <c r="B98" s="198" t="s">
        <v>521</v>
      </c>
      <c r="C98" s="198" t="s">
        <v>522</v>
      </c>
      <c r="D98" s="9">
        <v>1004</v>
      </c>
      <c r="E98" s="179">
        <v>490</v>
      </c>
      <c r="F98" s="179">
        <v>193</v>
      </c>
      <c r="G98" s="179">
        <v>16</v>
      </c>
      <c r="H98" s="179">
        <v>25</v>
      </c>
      <c r="I98" s="179">
        <v>5</v>
      </c>
      <c r="J98" s="180">
        <f t="shared" si="5"/>
        <v>1733</v>
      </c>
      <c r="K98" s="190" t="str">
        <f t="shared" si="7"/>
        <v>S</v>
      </c>
      <c r="L98" s="191"/>
      <c r="M98" s="191"/>
      <c r="N98" s="191"/>
      <c r="O98" s="181">
        <f t="shared" si="6"/>
        <v>300000</v>
      </c>
      <c r="P98" s="249">
        <f>50000+50000+139000</f>
        <v>239000</v>
      </c>
      <c r="Q98" s="307">
        <f t="shared" si="9"/>
        <v>79.666666666666671</v>
      </c>
      <c r="S98" s="318">
        <v>44185</v>
      </c>
      <c r="T98" s="318">
        <v>44286</v>
      </c>
      <c r="U98" s="318">
        <v>44468</v>
      </c>
      <c r="V98" s="318"/>
    </row>
    <row r="99" spans="1:23" ht="21.75" customHeight="1" x14ac:dyDescent="0.35">
      <c r="A99" s="184">
        <v>10771</v>
      </c>
      <c r="B99" s="196" t="s">
        <v>306</v>
      </c>
      <c r="C99" s="196" t="s">
        <v>307</v>
      </c>
      <c r="D99" s="4">
        <v>2116</v>
      </c>
      <c r="E99" s="179">
        <v>944</v>
      </c>
      <c r="F99" s="179">
        <v>439</v>
      </c>
      <c r="G99" s="179">
        <v>22</v>
      </c>
      <c r="H99" s="179">
        <v>46</v>
      </c>
      <c r="I99" s="179">
        <v>2</v>
      </c>
      <c r="J99" s="180">
        <f t="shared" si="5"/>
        <v>3569</v>
      </c>
      <c r="K99" s="190" t="str">
        <f t="shared" si="7"/>
        <v>M</v>
      </c>
      <c r="L99" s="191"/>
      <c r="M99" s="191"/>
      <c r="N99" s="191"/>
      <c r="O99" s="181">
        <f t="shared" si="6"/>
        <v>330000</v>
      </c>
      <c r="P99" s="249">
        <f>50000+50000+169000</f>
        <v>269000</v>
      </c>
      <c r="Q99" s="307">
        <f t="shared" si="9"/>
        <v>81.515151515151516</v>
      </c>
      <c r="S99" s="318">
        <v>44185</v>
      </c>
      <c r="T99" s="318">
        <v>44286</v>
      </c>
      <c r="U99" s="318">
        <v>44468</v>
      </c>
      <c r="V99" s="318"/>
    </row>
    <row r="100" spans="1:23" ht="21.75" customHeight="1" x14ac:dyDescent="0.35">
      <c r="A100" s="184">
        <v>10772</v>
      </c>
      <c r="B100" s="196" t="s">
        <v>525</v>
      </c>
      <c r="C100" s="196" t="s">
        <v>526</v>
      </c>
      <c r="D100" s="131">
        <v>2038</v>
      </c>
      <c r="E100" s="179">
        <v>950</v>
      </c>
      <c r="F100" s="179">
        <v>135</v>
      </c>
      <c r="G100" s="179">
        <v>13</v>
      </c>
      <c r="H100" s="179">
        <v>35</v>
      </c>
      <c r="I100" s="179">
        <v>6</v>
      </c>
      <c r="J100" s="180">
        <f t="shared" si="5"/>
        <v>3177</v>
      </c>
      <c r="K100" s="190" t="str">
        <f t="shared" si="7"/>
        <v>M</v>
      </c>
      <c r="L100" s="191"/>
      <c r="M100" s="191"/>
      <c r="N100" s="191"/>
      <c r="O100" s="181">
        <f t="shared" si="6"/>
        <v>330000</v>
      </c>
      <c r="P100" s="175">
        <f>120000+50000</f>
        <v>170000</v>
      </c>
      <c r="Q100" s="307">
        <f t="shared" si="9"/>
        <v>51.515151515151516</v>
      </c>
      <c r="S100" s="318">
        <v>44258</v>
      </c>
      <c r="T100" s="324">
        <v>44512</v>
      </c>
      <c r="V100" s="318"/>
      <c r="W100" s="175">
        <v>50000</v>
      </c>
    </row>
    <row r="101" spans="1:23" ht="21.75" customHeight="1" x14ac:dyDescent="0.35">
      <c r="A101" s="184">
        <v>10772</v>
      </c>
      <c r="B101" s="196" t="s">
        <v>527</v>
      </c>
      <c r="C101" s="196" t="s">
        <v>500</v>
      </c>
      <c r="D101" s="131">
        <v>10283</v>
      </c>
      <c r="E101" s="179">
        <v>3824</v>
      </c>
      <c r="F101" s="179">
        <v>764</v>
      </c>
      <c r="G101" s="179">
        <v>133</v>
      </c>
      <c r="H101" s="179">
        <v>173</v>
      </c>
      <c r="I101" s="179">
        <v>18</v>
      </c>
      <c r="J101" s="180">
        <f>SUM(D101:I101)</f>
        <v>15195</v>
      </c>
      <c r="K101" s="190" t="str">
        <f t="shared" si="7"/>
        <v>L</v>
      </c>
      <c r="L101" s="191"/>
      <c r="M101" s="191"/>
      <c r="N101" s="191"/>
      <c r="O101" s="181">
        <f t="shared" si="6"/>
        <v>360000</v>
      </c>
      <c r="P101" s="175">
        <f>300000+100000</f>
        <v>400000</v>
      </c>
      <c r="Q101" s="307">
        <f t="shared" si="9"/>
        <v>111.11111111111111</v>
      </c>
      <c r="S101" s="318">
        <v>44258</v>
      </c>
      <c r="T101" s="324">
        <v>44512</v>
      </c>
      <c r="V101" s="318"/>
      <c r="W101" s="175">
        <v>100000</v>
      </c>
    </row>
    <row r="102" spans="1:23" ht="21.75" customHeight="1" x14ac:dyDescent="0.35">
      <c r="A102" s="184">
        <v>10772</v>
      </c>
      <c r="B102" s="198" t="s">
        <v>528</v>
      </c>
      <c r="C102" s="198" t="s">
        <v>529</v>
      </c>
      <c r="D102" s="132">
        <v>1602</v>
      </c>
      <c r="E102" s="179">
        <v>956</v>
      </c>
      <c r="F102" s="179">
        <v>264</v>
      </c>
      <c r="G102" s="179">
        <v>22</v>
      </c>
      <c r="H102" s="179">
        <v>51</v>
      </c>
      <c r="I102" s="179">
        <v>7</v>
      </c>
      <c r="J102" s="180">
        <f t="shared" si="5"/>
        <v>2902</v>
      </c>
      <c r="K102" s="190" t="str">
        <f t="shared" si="7"/>
        <v>S</v>
      </c>
      <c r="L102" s="191"/>
      <c r="M102" s="191"/>
      <c r="N102" s="191"/>
      <c r="O102" s="181">
        <f t="shared" si="6"/>
        <v>300000</v>
      </c>
      <c r="P102" s="175">
        <f>150000+100000</f>
        <v>250000</v>
      </c>
      <c r="Q102" s="307">
        <f t="shared" si="9"/>
        <v>83.333333333333329</v>
      </c>
      <c r="S102" s="318">
        <v>44258</v>
      </c>
      <c r="T102" s="324">
        <v>44512</v>
      </c>
      <c r="V102" s="318"/>
      <c r="W102" s="175">
        <v>100000</v>
      </c>
    </row>
    <row r="103" spans="1:23" ht="21.75" customHeight="1" x14ac:dyDescent="0.35">
      <c r="A103" s="184">
        <v>10772</v>
      </c>
      <c r="B103" s="196" t="s">
        <v>308</v>
      </c>
      <c r="C103" s="196" t="s">
        <v>309</v>
      </c>
      <c r="D103" s="131">
        <v>2787</v>
      </c>
      <c r="E103" s="179">
        <v>66</v>
      </c>
      <c r="F103" s="179">
        <v>6</v>
      </c>
      <c r="G103" s="179">
        <v>4</v>
      </c>
      <c r="H103" s="179">
        <v>3</v>
      </c>
      <c r="I103" s="179">
        <v>0</v>
      </c>
      <c r="J103" s="180">
        <f t="shared" si="5"/>
        <v>2866</v>
      </c>
      <c r="K103" s="190" t="str">
        <f t="shared" si="7"/>
        <v>S</v>
      </c>
      <c r="L103" s="191"/>
      <c r="M103" s="191"/>
      <c r="N103" s="191"/>
      <c r="O103" s="181">
        <f t="shared" si="6"/>
        <v>300000</v>
      </c>
      <c r="P103" s="175">
        <f>450000+250000</f>
        <v>700000</v>
      </c>
      <c r="Q103" s="307">
        <f t="shared" si="9"/>
        <v>233.33333333333334</v>
      </c>
      <c r="S103" s="318">
        <v>44258</v>
      </c>
      <c r="T103" s="324">
        <v>44512</v>
      </c>
      <c r="V103" s="318"/>
      <c r="W103" s="175">
        <v>250000</v>
      </c>
    </row>
    <row r="104" spans="1:23" ht="21.75" customHeight="1" x14ac:dyDescent="0.35">
      <c r="A104" s="184">
        <v>10772</v>
      </c>
      <c r="B104" s="196" t="s">
        <v>310</v>
      </c>
      <c r="C104" s="196" t="s">
        <v>311</v>
      </c>
      <c r="D104" s="131">
        <v>1177</v>
      </c>
      <c r="E104" s="179">
        <v>1944</v>
      </c>
      <c r="F104" s="179">
        <v>509</v>
      </c>
      <c r="G104" s="179">
        <v>63</v>
      </c>
      <c r="H104" s="179">
        <v>85</v>
      </c>
      <c r="I104" s="179">
        <v>14</v>
      </c>
      <c r="J104" s="180">
        <f t="shared" si="5"/>
        <v>3792</v>
      </c>
      <c r="K104" s="190" t="str">
        <f t="shared" si="7"/>
        <v>M</v>
      </c>
      <c r="L104" s="191"/>
      <c r="M104" s="191"/>
      <c r="N104" s="191"/>
      <c r="O104" s="181">
        <f t="shared" si="6"/>
        <v>330000</v>
      </c>
      <c r="P104" s="175">
        <f>200000+200000</f>
        <v>400000</v>
      </c>
      <c r="Q104" s="307">
        <f t="shared" si="9"/>
        <v>121.21212121212122</v>
      </c>
      <c r="S104" s="318">
        <v>44258</v>
      </c>
      <c r="T104" s="324">
        <v>44512</v>
      </c>
      <c r="V104" s="318"/>
      <c r="W104" s="175">
        <v>200000</v>
      </c>
    </row>
    <row r="105" spans="1:23" ht="21.75" customHeight="1" x14ac:dyDescent="0.35">
      <c r="A105" s="184">
        <v>10772</v>
      </c>
      <c r="B105" s="198" t="s">
        <v>530</v>
      </c>
      <c r="C105" s="198" t="s">
        <v>531</v>
      </c>
      <c r="D105" s="132">
        <v>7054</v>
      </c>
      <c r="E105" s="179">
        <v>3397</v>
      </c>
      <c r="F105" s="179">
        <v>601</v>
      </c>
      <c r="G105" s="179">
        <v>88</v>
      </c>
      <c r="H105" s="179">
        <v>123</v>
      </c>
      <c r="I105" s="179">
        <v>20</v>
      </c>
      <c r="J105" s="180">
        <f t="shared" si="5"/>
        <v>11283</v>
      </c>
      <c r="K105" s="190" t="str">
        <f t="shared" si="7"/>
        <v>L</v>
      </c>
      <c r="L105" s="191"/>
      <c r="M105" s="191"/>
      <c r="N105" s="191"/>
      <c r="O105" s="181">
        <f t="shared" si="6"/>
        <v>360000</v>
      </c>
      <c r="P105" s="175">
        <f>250000+180000</f>
        <v>430000</v>
      </c>
      <c r="Q105" s="307">
        <f t="shared" si="9"/>
        <v>119.44444444444444</v>
      </c>
      <c r="S105" s="318">
        <v>44258</v>
      </c>
      <c r="T105" s="324">
        <v>44512</v>
      </c>
      <c r="V105" s="318"/>
      <c r="W105" s="175">
        <v>180000</v>
      </c>
    </row>
    <row r="106" spans="1:23" ht="21.75" customHeight="1" x14ac:dyDescent="0.35">
      <c r="A106" s="184">
        <v>10772</v>
      </c>
      <c r="B106" s="196" t="s">
        <v>532</v>
      </c>
      <c r="C106" s="196" t="s">
        <v>533</v>
      </c>
      <c r="D106" s="131">
        <v>4095</v>
      </c>
      <c r="E106" s="179">
        <v>2725</v>
      </c>
      <c r="F106" s="179">
        <v>405</v>
      </c>
      <c r="G106" s="179">
        <v>51</v>
      </c>
      <c r="H106" s="179">
        <v>85</v>
      </c>
      <c r="I106" s="179">
        <v>9</v>
      </c>
      <c r="J106" s="180">
        <f t="shared" si="5"/>
        <v>7370</v>
      </c>
      <c r="K106" s="190" t="str">
        <f t="shared" si="7"/>
        <v>M</v>
      </c>
      <c r="L106" s="191"/>
      <c r="M106" s="191"/>
      <c r="N106" s="191"/>
      <c r="O106" s="181">
        <f t="shared" si="6"/>
        <v>330000</v>
      </c>
      <c r="P106" s="175">
        <f>150000+250000</f>
        <v>400000</v>
      </c>
      <c r="Q106" s="307">
        <f t="shared" si="9"/>
        <v>121.21212121212122</v>
      </c>
      <c r="S106" s="318">
        <v>44258</v>
      </c>
      <c r="T106" s="324">
        <v>44512</v>
      </c>
      <c r="V106" s="318"/>
      <c r="W106" s="175">
        <v>250000</v>
      </c>
    </row>
    <row r="107" spans="1:23" ht="21.75" customHeight="1" x14ac:dyDescent="0.35">
      <c r="A107" s="184">
        <v>10772</v>
      </c>
      <c r="B107" s="198" t="s">
        <v>312</v>
      </c>
      <c r="C107" s="198" t="s">
        <v>313</v>
      </c>
      <c r="D107" s="132">
        <v>1354</v>
      </c>
      <c r="E107" s="179">
        <v>803</v>
      </c>
      <c r="F107" s="179">
        <v>192</v>
      </c>
      <c r="G107" s="179">
        <v>12</v>
      </c>
      <c r="H107" s="179">
        <v>29</v>
      </c>
      <c r="I107" s="179">
        <v>8</v>
      </c>
      <c r="J107" s="180">
        <f t="shared" si="5"/>
        <v>2398</v>
      </c>
      <c r="K107" s="190" t="str">
        <f t="shared" si="7"/>
        <v>S</v>
      </c>
      <c r="L107" s="191"/>
      <c r="M107" s="191"/>
      <c r="N107" s="191"/>
      <c r="O107" s="181">
        <f t="shared" si="6"/>
        <v>300000</v>
      </c>
      <c r="P107" s="175">
        <f>150000+80000</f>
        <v>230000</v>
      </c>
      <c r="Q107" s="307">
        <f t="shared" si="9"/>
        <v>76.666666666666671</v>
      </c>
      <c r="S107" s="318">
        <v>44258</v>
      </c>
      <c r="T107" s="324">
        <v>44512</v>
      </c>
      <c r="V107" s="318"/>
      <c r="W107" s="175">
        <v>80000</v>
      </c>
    </row>
    <row r="108" spans="1:23" ht="21.75" customHeight="1" x14ac:dyDescent="0.35">
      <c r="A108" s="184">
        <v>10772</v>
      </c>
      <c r="B108" s="196" t="s">
        <v>534</v>
      </c>
      <c r="C108" s="196" t="s">
        <v>506</v>
      </c>
      <c r="D108" s="131">
        <v>1670</v>
      </c>
      <c r="E108" s="179">
        <v>820</v>
      </c>
      <c r="F108" s="179">
        <v>214</v>
      </c>
      <c r="G108" s="179">
        <v>18</v>
      </c>
      <c r="H108" s="179">
        <v>32</v>
      </c>
      <c r="I108" s="179">
        <v>6</v>
      </c>
      <c r="J108" s="180">
        <f t="shared" si="5"/>
        <v>2760</v>
      </c>
      <c r="K108" s="190" t="str">
        <f t="shared" si="7"/>
        <v>S</v>
      </c>
      <c r="L108" s="191"/>
      <c r="M108" s="191"/>
      <c r="N108" s="191"/>
      <c r="O108" s="181">
        <f t="shared" si="6"/>
        <v>300000</v>
      </c>
      <c r="P108" s="175">
        <f>50000+150000</f>
        <v>200000</v>
      </c>
      <c r="Q108" s="307">
        <f t="shared" si="9"/>
        <v>66.666666666666671</v>
      </c>
      <c r="S108" s="318">
        <v>44258</v>
      </c>
      <c r="T108" s="324">
        <v>44512</v>
      </c>
      <c r="V108" s="318"/>
      <c r="W108" s="175">
        <v>150000</v>
      </c>
    </row>
    <row r="109" spans="1:23" ht="21.75" customHeight="1" x14ac:dyDescent="0.35">
      <c r="A109" s="184">
        <v>10772</v>
      </c>
      <c r="B109" s="198" t="s">
        <v>314</v>
      </c>
      <c r="C109" s="198" t="s">
        <v>315</v>
      </c>
      <c r="D109" s="132">
        <v>1213</v>
      </c>
      <c r="E109" s="179">
        <v>593</v>
      </c>
      <c r="F109" s="179">
        <v>159</v>
      </c>
      <c r="G109" s="179">
        <v>21</v>
      </c>
      <c r="H109" s="179">
        <v>22</v>
      </c>
      <c r="I109" s="179">
        <v>7</v>
      </c>
      <c r="J109" s="180">
        <f t="shared" si="5"/>
        <v>2015</v>
      </c>
      <c r="K109" s="190" t="str">
        <f t="shared" si="7"/>
        <v>S</v>
      </c>
      <c r="L109" s="191"/>
      <c r="M109" s="191"/>
      <c r="N109" s="191"/>
      <c r="O109" s="181">
        <f t="shared" si="6"/>
        <v>300000</v>
      </c>
      <c r="P109" s="200">
        <f>150000+150000</f>
        <v>300000</v>
      </c>
      <c r="Q109" s="307">
        <f t="shared" si="9"/>
        <v>100</v>
      </c>
      <c r="S109" s="318">
        <v>44258</v>
      </c>
      <c r="T109" s="324">
        <v>44512</v>
      </c>
      <c r="V109" s="318"/>
      <c r="W109" s="175">
        <v>150000</v>
      </c>
    </row>
    <row r="110" spans="1:23" ht="21.75" customHeight="1" x14ac:dyDescent="0.35">
      <c r="A110" s="184">
        <v>10772</v>
      </c>
      <c r="B110" s="196" t="s">
        <v>316</v>
      </c>
      <c r="C110" s="196" t="s">
        <v>317</v>
      </c>
      <c r="D110" s="247">
        <v>2200</v>
      </c>
      <c r="E110" s="179">
        <v>126</v>
      </c>
      <c r="F110" s="179">
        <v>14</v>
      </c>
      <c r="G110" s="179">
        <v>8</v>
      </c>
      <c r="H110" s="179">
        <v>5</v>
      </c>
      <c r="I110" s="179">
        <v>0</v>
      </c>
      <c r="J110" s="180">
        <f t="shared" si="5"/>
        <v>2353</v>
      </c>
      <c r="K110" s="190" t="str">
        <f t="shared" si="7"/>
        <v>S</v>
      </c>
      <c r="L110" s="191"/>
      <c r="M110" s="191"/>
      <c r="N110" s="191"/>
      <c r="O110" s="181">
        <f t="shared" si="6"/>
        <v>300000</v>
      </c>
      <c r="P110" s="175">
        <f>40000+40000</f>
        <v>80000</v>
      </c>
      <c r="Q110" s="307">
        <f t="shared" si="9"/>
        <v>26.666666666666668</v>
      </c>
      <c r="S110" s="318">
        <v>44258</v>
      </c>
      <c r="T110" s="324">
        <v>44512</v>
      </c>
      <c r="V110" s="318"/>
      <c r="W110" s="175">
        <v>40000</v>
      </c>
    </row>
    <row r="111" spans="1:23" ht="21.75" customHeight="1" x14ac:dyDescent="0.35">
      <c r="A111" s="184">
        <v>10772</v>
      </c>
      <c r="B111" s="198" t="s">
        <v>535</v>
      </c>
      <c r="C111" s="198" t="s">
        <v>536</v>
      </c>
      <c r="D111" s="132">
        <v>1181</v>
      </c>
      <c r="E111" s="179">
        <v>717</v>
      </c>
      <c r="F111" s="179">
        <v>106</v>
      </c>
      <c r="G111" s="179">
        <v>14</v>
      </c>
      <c r="H111" s="179">
        <v>25</v>
      </c>
      <c r="I111" s="179">
        <v>1</v>
      </c>
      <c r="J111" s="180">
        <f t="shared" si="5"/>
        <v>2044</v>
      </c>
      <c r="K111" s="190" t="str">
        <f t="shared" si="7"/>
        <v>S</v>
      </c>
      <c r="L111" s="191"/>
      <c r="M111" s="191"/>
      <c r="N111" s="191"/>
      <c r="O111" s="181">
        <f t="shared" si="6"/>
        <v>300000</v>
      </c>
      <c r="P111" s="175">
        <f>50000+100000</f>
        <v>150000</v>
      </c>
      <c r="Q111" s="307">
        <f t="shared" si="9"/>
        <v>50</v>
      </c>
      <c r="S111" s="318">
        <v>44258</v>
      </c>
      <c r="T111" s="324">
        <v>44512</v>
      </c>
      <c r="V111" s="318"/>
      <c r="W111" s="175">
        <v>100000</v>
      </c>
    </row>
    <row r="112" spans="1:23" ht="21.75" customHeight="1" x14ac:dyDescent="0.35">
      <c r="A112" s="184">
        <v>10772</v>
      </c>
      <c r="B112" s="196" t="s">
        <v>537</v>
      </c>
      <c r="C112" s="196" t="s">
        <v>538</v>
      </c>
      <c r="D112" s="131">
        <v>1487</v>
      </c>
      <c r="E112" s="179">
        <v>620</v>
      </c>
      <c r="F112" s="179">
        <v>48</v>
      </c>
      <c r="G112" s="179">
        <v>20</v>
      </c>
      <c r="H112" s="179">
        <v>10</v>
      </c>
      <c r="I112" s="179">
        <v>4</v>
      </c>
      <c r="J112" s="180">
        <f t="shared" si="5"/>
        <v>2189</v>
      </c>
      <c r="K112" s="190" t="str">
        <f t="shared" si="7"/>
        <v>S</v>
      </c>
      <c r="L112" s="191"/>
      <c r="M112" s="191"/>
      <c r="N112" s="191"/>
      <c r="O112" s="181">
        <f t="shared" si="6"/>
        <v>300000</v>
      </c>
      <c r="P112" s="175">
        <f>50000+100000</f>
        <v>150000</v>
      </c>
      <c r="Q112" s="307">
        <f t="shared" si="9"/>
        <v>50</v>
      </c>
      <c r="S112" s="318">
        <v>44258</v>
      </c>
      <c r="T112" s="324">
        <v>44512</v>
      </c>
      <c r="V112" s="318"/>
      <c r="W112" s="175">
        <v>100000</v>
      </c>
    </row>
    <row r="113" spans="1:23" ht="21.75" customHeight="1" x14ac:dyDescent="0.35">
      <c r="A113" s="184">
        <v>10772</v>
      </c>
      <c r="B113" s="198" t="s">
        <v>539</v>
      </c>
      <c r="C113" s="198" t="s">
        <v>878</v>
      </c>
      <c r="D113" s="132">
        <v>808</v>
      </c>
      <c r="E113" s="179">
        <v>143</v>
      </c>
      <c r="F113" s="179">
        <v>41</v>
      </c>
      <c r="G113" s="179">
        <v>1</v>
      </c>
      <c r="H113" s="179">
        <v>6</v>
      </c>
      <c r="I113" s="179">
        <v>1</v>
      </c>
      <c r="J113" s="180">
        <f t="shared" si="5"/>
        <v>1000</v>
      </c>
      <c r="K113" s="190" t="str">
        <f t="shared" si="7"/>
        <v>S</v>
      </c>
      <c r="L113" s="191"/>
      <c r="M113" s="191"/>
      <c r="N113" s="191"/>
      <c r="O113" s="181">
        <f t="shared" si="6"/>
        <v>300000</v>
      </c>
      <c r="P113" s="175">
        <f>200000+210000</f>
        <v>410000</v>
      </c>
      <c r="Q113" s="307">
        <f t="shared" si="9"/>
        <v>136.66666666666666</v>
      </c>
      <c r="S113" s="318">
        <v>44258</v>
      </c>
      <c r="T113" s="324">
        <v>44512</v>
      </c>
      <c r="V113" s="318"/>
      <c r="W113" s="175">
        <v>210000</v>
      </c>
    </row>
    <row r="114" spans="1:23" ht="21.75" customHeight="1" x14ac:dyDescent="0.35">
      <c r="A114" s="184">
        <v>10772</v>
      </c>
      <c r="B114" s="198" t="s">
        <v>540</v>
      </c>
      <c r="C114" s="198" t="s">
        <v>879</v>
      </c>
      <c r="D114" s="132">
        <v>457</v>
      </c>
      <c r="E114" s="179">
        <v>505</v>
      </c>
      <c r="F114" s="179">
        <v>101</v>
      </c>
      <c r="G114" s="179">
        <v>9</v>
      </c>
      <c r="H114" s="179">
        <v>19</v>
      </c>
      <c r="I114" s="179">
        <v>4</v>
      </c>
      <c r="J114" s="180">
        <f t="shared" si="5"/>
        <v>1095</v>
      </c>
      <c r="K114" s="190" t="str">
        <f t="shared" si="7"/>
        <v>S</v>
      </c>
      <c r="L114" s="191"/>
      <c r="M114" s="191"/>
      <c r="N114" s="191"/>
      <c r="O114" s="181">
        <f t="shared" si="6"/>
        <v>300000</v>
      </c>
      <c r="P114" s="175">
        <f>100000+40000</f>
        <v>140000</v>
      </c>
      <c r="Q114" s="307">
        <f t="shared" si="9"/>
        <v>46.666666666666664</v>
      </c>
      <c r="S114" s="318">
        <v>44258</v>
      </c>
      <c r="T114" s="324">
        <v>44512</v>
      </c>
      <c r="V114" s="318"/>
      <c r="W114" s="175">
        <v>40000</v>
      </c>
    </row>
    <row r="115" spans="1:23" ht="21.75" customHeight="1" x14ac:dyDescent="0.35">
      <c r="A115" s="184">
        <v>10772</v>
      </c>
      <c r="B115" s="196" t="s">
        <v>318</v>
      </c>
      <c r="C115" s="196" t="s">
        <v>319</v>
      </c>
      <c r="D115" s="131">
        <v>1541</v>
      </c>
      <c r="E115" s="179">
        <v>695</v>
      </c>
      <c r="F115" s="179">
        <v>126</v>
      </c>
      <c r="G115" s="179">
        <v>17</v>
      </c>
      <c r="H115" s="179">
        <v>32</v>
      </c>
      <c r="I115" s="179">
        <v>1</v>
      </c>
      <c r="J115" s="180">
        <f t="shared" si="5"/>
        <v>2412</v>
      </c>
      <c r="K115" s="190" t="str">
        <f t="shared" si="7"/>
        <v>S</v>
      </c>
      <c r="L115" s="191"/>
      <c r="M115" s="191"/>
      <c r="N115" s="191"/>
      <c r="O115" s="181">
        <f t="shared" si="6"/>
        <v>300000</v>
      </c>
      <c r="P115" s="175">
        <f>250000+50000</f>
        <v>300000</v>
      </c>
      <c r="Q115" s="307">
        <f t="shared" si="9"/>
        <v>100</v>
      </c>
      <c r="S115" s="318">
        <v>44258</v>
      </c>
      <c r="T115" s="324">
        <v>44512</v>
      </c>
      <c r="V115" s="318"/>
      <c r="W115" s="175">
        <v>50000</v>
      </c>
    </row>
    <row r="116" spans="1:23" ht="21.75" customHeight="1" x14ac:dyDescent="0.35">
      <c r="A116" s="184">
        <v>10772</v>
      </c>
      <c r="B116" s="198" t="s">
        <v>541</v>
      </c>
      <c r="C116" s="198" t="s">
        <v>542</v>
      </c>
      <c r="D116" s="132">
        <v>818</v>
      </c>
      <c r="E116" s="179">
        <v>494</v>
      </c>
      <c r="F116" s="179">
        <v>154</v>
      </c>
      <c r="G116" s="179">
        <v>9</v>
      </c>
      <c r="H116" s="179">
        <v>19</v>
      </c>
      <c r="I116" s="179">
        <v>4</v>
      </c>
      <c r="J116" s="180">
        <f t="shared" si="5"/>
        <v>1498</v>
      </c>
      <c r="K116" s="190" t="str">
        <f t="shared" si="7"/>
        <v>S</v>
      </c>
      <c r="L116" s="191"/>
      <c r="M116" s="191"/>
      <c r="N116" s="191"/>
      <c r="O116" s="181">
        <f t="shared" si="6"/>
        <v>300000</v>
      </c>
      <c r="P116" s="175">
        <f>50000+150000</f>
        <v>200000</v>
      </c>
      <c r="Q116" s="307">
        <f t="shared" si="9"/>
        <v>66.666666666666671</v>
      </c>
      <c r="S116" s="318">
        <v>44258</v>
      </c>
      <c r="T116" s="324">
        <v>44512</v>
      </c>
      <c r="V116" s="318"/>
      <c r="W116" s="175">
        <v>150000</v>
      </c>
    </row>
    <row r="117" spans="1:23" ht="21.75" customHeight="1" x14ac:dyDescent="0.35">
      <c r="A117" s="184">
        <v>10772</v>
      </c>
      <c r="B117" s="196" t="s">
        <v>320</v>
      </c>
      <c r="C117" s="196" t="s">
        <v>321</v>
      </c>
      <c r="D117" s="131">
        <v>6055</v>
      </c>
      <c r="E117" s="179">
        <v>1631</v>
      </c>
      <c r="F117" s="179">
        <v>299</v>
      </c>
      <c r="G117" s="179">
        <v>72</v>
      </c>
      <c r="H117" s="179">
        <v>52</v>
      </c>
      <c r="I117" s="179">
        <v>10</v>
      </c>
      <c r="J117" s="180">
        <f t="shared" si="5"/>
        <v>8119</v>
      </c>
      <c r="K117" s="190" t="str">
        <f t="shared" si="7"/>
        <v>L</v>
      </c>
      <c r="L117" s="191"/>
      <c r="M117" s="191"/>
      <c r="N117" s="191"/>
      <c r="O117" s="181">
        <f t="shared" si="6"/>
        <v>360000</v>
      </c>
      <c r="P117" s="175">
        <f>200000+50000</f>
        <v>250000</v>
      </c>
      <c r="Q117" s="307">
        <f t="shared" si="9"/>
        <v>69.444444444444443</v>
      </c>
      <c r="S117" s="318">
        <v>44258</v>
      </c>
      <c r="T117" s="324">
        <v>44512</v>
      </c>
      <c r="V117" s="318"/>
      <c r="W117" s="175">
        <v>50000</v>
      </c>
    </row>
    <row r="118" spans="1:23" ht="21.75" customHeight="1" x14ac:dyDescent="0.35">
      <c r="A118" s="184">
        <v>10772</v>
      </c>
      <c r="B118" s="198" t="s">
        <v>543</v>
      </c>
      <c r="C118" s="198" t="s">
        <v>544</v>
      </c>
      <c r="D118" s="132">
        <v>1666</v>
      </c>
      <c r="E118" s="179">
        <v>798</v>
      </c>
      <c r="F118" s="179">
        <v>260</v>
      </c>
      <c r="G118" s="179">
        <v>26</v>
      </c>
      <c r="H118" s="179">
        <v>40</v>
      </c>
      <c r="I118" s="179">
        <v>8</v>
      </c>
      <c r="J118" s="180">
        <f t="shared" si="5"/>
        <v>2798</v>
      </c>
      <c r="K118" s="190" t="str">
        <f t="shared" si="7"/>
        <v>S</v>
      </c>
      <c r="L118" s="191"/>
      <c r="M118" s="191"/>
      <c r="N118" s="191"/>
      <c r="O118" s="181">
        <f t="shared" si="6"/>
        <v>300000</v>
      </c>
      <c r="P118" s="175">
        <f>75000+335000</f>
        <v>410000</v>
      </c>
      <c r="Q118" s="307">
        <f t="shared" si="9"/>
        <v>136.66666666666666</v>
      </c>
      <c r="S118" s="318">
        <v>44258</v>
      </c>
      <c r="T118" s="324">
        <v>44512</v>
      </c>
      <c r="V118" s="318"/>
      <c r="W118" s="175">
        <v>335000</v>
      </c>
    </row>
    <row r="119" spans="1:23" ht="21.75" customHeight="1" x14ac:dyDescent="0.35">
      <c r="A119" s="184">
        <v>10772</v>
      </c>
      <c r="B119" s="196" t="s">
        <v>322</v>
      </c>
      <c r="C119" s="196" t="s">
        <v>323</v>
      </c>
      <c r="D119" s="131">
        <v>945</v>
      </c>
      <c r="E119" s="179">
        <v>506</v>
      </c>
      <c r="F119" s="179">
        <v>131</v>
      </c>
      <c r="G119" s="179">
        <v>6</v>
      </c>
      <c r="H119" s="179">
        <v>19</v>
      </c>
      <c r="I119" s="179">
        <v>2</v>
      </c>
      <c r="J119" s="180">
        <f t="shared" si="5"/>
        <v>1609</v>
      </c>
      <c r="K119" s="190" t="str">
        <f t="shared" si="7"/>
        <v>S</v>
      </c>
      <c r="L119" s="191"/>
      <c r="M119" s="191"/>
      <c r="N119" s="191"/>
      <c r="O119" s="181">
        <f t="shared" si="6"/>
        <v>300000</v>
      </c>
      <c r="P119" s="175">
        <f>150000+150000</f>
        <v>300000</v>
      </c>
      <c r="Q119" s="307">
        <f t="shared" si="9"/>
        <v>100</v>
      </c>
      <c r="S119" s="318">
        <v>44258</v>
      </c>
      <c r="T119" s="324">
        <v>44512</v>
      </c>
      <c r="V119" s="318"/>
      <c r="W119" s="175">
        <v>150000</v>
      </c>
    </row>
    <row r="120" spans="1:23" ht="21.75" customHeight="1" x14ac:dyDescent="0.35">
      <c r="A120" s="184">
        <v>10773</v>
      </c>
      <c r="B120" s="198" t="s">
        <v>551</v>
      </c>
      <c r="C120" s="198" t="s">
        <v>552</v>
      </c>
      <c r="D120" s="96">
        <v>2220</v>
      </c>
      <c r="E120" s="179">
        <v>869</v>
      </c>
      <c r="F120" s="179">
        <v>362</v>
      </c>
      <c r="G120" s="179">
        <v>56</v>
      </c>
      <c r="H120" s="179">
        <v>59</v>
      </c>
      <c r="I120" s="179">
        <v>4</v>
      </c>
      <c r="J120" s="180">
        <f t="shared" si="5"/>
        <v>3570</v>
      </c>
      <c r="K120" s="190" t="str">
        <f t="shared" si="7"/>
        <v>M</v>
      </c>
      <c r="L120" s="191"/>
      <c r="M120" s="191"/>
      <c r="N120" s="191"/>
      <c r="O120" s="181">
        <f t="shared" si="6"/>
        <v>330000</v>
      </c>
      <c r="P120" s="249">
        <f t="shared" ref="P120:P135" si="10">50000+50000</f>
        <v>100000</v>
      </c>
      <c r="Q120" s="307">
        <f t="shared" si="9"/>
        <v>30.303030303030305</v>
      </c>
      <c r="S120" s="318">
        <v>44223</v>
      </c>
      <c r="T120" s="318">
        <v>44390</v>
      </c>
      <c r="V120" s="318"/>
    </row>
    <row r="121" spans="1:23" ht="21.75" customHeight="1" x14ac:dyDescent="0.35">
      <c r="A121" s="184">
        <v>10773</v>
      </c>
      <c r="B121" s="196" t="s">
        <v>324</v>
      </c>
      <c r="C121" s="196" t="s">
        <v>325</v>
      </c>
      <c r="D121" s="98">
        <v>1010</v>
      </c>
      <c r="E121" s="179">
        <v>500</v>
      </c>
      <c r="F121" s="179">
        <v>141</v>
      </c>
      <c r="G121" s="179">
        <v>5</v>
      </c>
      <c r="H121" s="179">
        <v>20</v>
      </c>
      <c r="I121" s="179">
        <v>3</v>
      </c>
      <c r="J121" s="180">
        <f t="shared" si="5"/>
        <v>1679</v>
      </c>
      <c r="K121" s="190" t="str">
        <f t="shared" si="7"/>
        <v>S</v>
      </c>
      <c r="L121" s="191"/>
      <c r="M121" s="191"/>
      <c r="N121" s="191"/>
      <c r="O121" s="181">
        <f t="shared" si="6"/>
        <v>300000</v>
      </c>
      <c r="P121" s="249">
        <f t="shared" si="10"/>
        <v>100000</v>
      </c>
      <c r="Q121" s="307">
        <f t="shared" si="9"/>
        <v>33.333333333333336</v>
      </c>
      <c r="S121" s="318">
        <v>44223</v>
      </c>
      <c r="T121" s="318">
        <v>44390</v>
      </c>
      <c r="V121" s="318"/>
    </row>
    <row r="122" spans="1:23" ht="21.75" customHeight="1" x14ac:dyDescent="0.35">
      <c r="A122" s="184">
        <v>10773</v>
      </c>
      <c r="B122" s="198" t="s">
        <v>481</v>
      </c>
      <c r="C122" s="198" t="s">
        <v>482</v>
      </c>
      <c r="D122" s="96">
        <v>2060</v>
      </c>
      <c r="E122" s="179">
        <v>728</v>
      </c>
      <c r="F122" s="179">
        <v>188</v>
      </c>
      <c r="G122" s="179">
        <v>28</v>
      </c>
      <c r="H122" s="179">
        <v>19</v>
      </c>
      <c r="I122" s="179">
        <v>4</v>
      </c>
      <c r="J122" s="180">
        <f t="shared" si="5"/>
        <v>3027</v>
      </c>
      <c r="K122" s="190" t="str">
        <f t="shared" si="7"/>
        <v>M</v>
      </c>
      <c r="L122" s="191"/>
      <c r="M122" s="191"/>
      <c r="N122" s="191"/>
      <c r="O122" s="181">
        <f t="shared" si="6"/>
        <v>330000</v>
      </c>
      <c r="P122" s="249">
        <f t="shared" si="10"/>
        <v>100000</v>
      </c>
      <c r="Q122" s="307">
        <f t="shared" si="9"/>
        <v>30.303030303030305</v>
      </c>
      <c r="S122" s="318">
        <v>44223</v>
      </c>
      <c r="T122" s="318">
        <v>44390</v>
      </c>
      <c r="V122" s="318"/>
    </row>
    <row r="123" spans="1:23" ht="21.75" customHeight="1" x14ac:dyDescent="0.35">
      <c r="A123" s="184">
        <v>10773</v>
      </c>
      <c r="B123" s="196" t="s">
        <v>553</v>
      </c>
      <c r="C123" s="196" t="s">
        <v>554</v>
      </c>
      <c r="D123" s="98">
        <v>1385</v>
      </c>
      <c r="E123" s="179">
        <v>569</v>
      </c>
      <c r="F123" s="179">
        <v>235</v>
      </c>
      <c r="G123" s="179">
        <v>13</v>
      </c>
      <c r="H123" s="179">
        <v>35</v>
      </c>
      <c r="I123" s="179">
        <v>2</v>
      </c>
      <c r="J123" s="180">
        <f t="shared" si="5"/>
        <v>2239</v>
      </c>
      <c r="K123" s="190" t="str">
        <f t="shared" si="7"/>
        <v>S</v>
      </c>
      <c r="L123" s="191"/>
      <c r="M123" s="191"/>
      <c r="N123" s="191"/>
      <c r="O123" s="181">
        <f t="shared" si="6"/>
        <v>300000</v>
      </c>
      <c r="P123" s="249">
        <f t="shared" si="10"/>
        <v>100000</v>
      </c>
      <c r="Q123" s="307">
        <f t="shared" si="9"/>
        <v>33.333333333333336</v>
      </c>
      <c r="S123" s="318">
        <v>44223</v>
      </c>
      <c r="T123" s="318">
        <v>44390</v>
      </c>
      <c r="V123" s="318"/>
    </row>
    <row r="124" spans="1:23" ht="21.75" customHeight="1" x14ac:dyDescent="0.35">
      <c r="A124" s="184">
        <v>10773</v>
      </c>
      <c r="B124" s="198" t="s">
        <v>555</v>
      </c>
      <c r="C124" s="198" t="s">
        <v>556</v>
      </c>
      <c r="D124" s="96">
        <v>1102</v>
      </c>
      <c r="E124" s="179">
        <v>547</v>
      </c>
      <c r="F124" s="179">
        <v>175</v>
      </c>
      <c r="G124" s="179">
        <v>16</v>
      </c>
      <c r="H124" s="179">
        <v>33</v>
      </c>
      <c r="I124" s="179">
        <v>0</v>
      </c>
      <c r="J124" s="180">
        <f t="shared" si="5"/>
        <v>1873</v>
      </c>
      <c r="K124" s="190" t="str">
        <f t="shared" si="7"/>
        <v>S</v>
      </c>
      <c r="L124" s="191"/>
      <c r="M124" s="191"/>
      <c r="N124" s="191"/>
      <c r="O124" s="181">
        <f t="shared" si="6"/>
        <v>300000</v>
      </c>
      <c r="P124" s="249">
        <f t="shared" si="10"/>
        <v>100000</v>
      </c>
      <c r="Q124" s="307">
        <f t="shared" si="9"/>
        <v>33.333333333333336</v>
      </c>
      <c r="S124" s="318">
        <v>44223</v>
      </c>
      <c r="T124" s="318">
        <v>44390</v>
      </c>
      <c r="V124" s="318"/>
    </row>
    <row r="125" spans="1:23" ht="21.75" customHeight="1" x14ac:dyDescent="0.35">
      <c r="A125" s="184">
        <v>10773</v>
      </c>
      <c r="B125" s="196" t="s">
        <v>557</v>
      </c>
      <c r="C125" s="196" t="s">
        <v>558</v>
      </c>
      <c r="D125" s="98">
        <v>841</v>
      </c>
      <c r="E125" s="179">
        <v>446</v>
      </c>
      <c r="F125" s="179">
        <v>78</v>
      </c>
      <c r="G125" s="179">
        <v>12</v>
      </c>
      <c r="H125" s="179">
        <v>17</v>
      </c>
      <c r="I125" s="179">
        <v>0</v>
      </c>
      <c r="J125" s="180">
        <f t="shared" si="5"/>
        <v>1394</v>
      </c>
      <c r="K125" s="190" t="str">
        <f t="shared" si="7"/>
        <v>S</v>
      </c>
      <c r="L125" s="191"/>
      <c r="M125" s="191"/>
      <c r="N125" s="191"/>
      <c r="O125" s="181">
        <f t="shared" si="6"/>
        <v>300000</v>
      </c>
      <c r="P125" s="249">
        <f t="shared" si="10"/>
        <v>100000</v>
      </c>
      <c r="Q125" s="307">
        <f t="shared" si="9"/>
        <v>33.333333333333336</v>
      </c>
      <c r="S125" s="318">
        <v>44223</v>
      </c>
      <c r="T125" s="318">
        <v>44390</v>
      </c>
      <c r="V125" s="318"/>
    </row>
    <row r="126" spans="1:23" ht="21.75" customHeight="1" x14ac:dyDescent="0.35">
      <c r="A126" s="184">
        <v>10773</v>
      </c>
      <c r="B126" s="198" t="s">
        <v>559</v>
      </c>
      <c r="C126" s="198" t="s">
        <v>560</v>
      </c>
      <c r="D126" s="96">
        <v>2356</v>
      </c>
      <c r="E126" s="179">
        <v>967</v>
      </c>
      <c r="F126" s="179">
        <v>252</v>
      </c>
      <c r="G126" s="179">
        <v>18</v>
      </c>
      <c r="H126" s="179">
        <v>43</v>
      </c>
      <c r="I126" s="179">
        <v>9</v>
      </c>
      <c r="J126" s="180">
        <f t="shared" si="5"/>
        <v>3645</v>
      </c>
      <c r="K126" s="190" t="str">
        <f t="shared" si="7"/>
        <v>M</v>
      </c>
      <c r="L126" s="191"/>
      <c r="M126" s="191"/>
      <c r="N126" s="191"/>
      <c r="O126" s="181">
        <f t="shared" si="6"/>
        <v>330000</v>
      </c>
      <c r="P126" s="249">
        <f t="shared" si="10"/>
        <v>100000</v>
      </c>
      <c r="Q126" s="307">
        <f t="shared" si="9"/>
        <v>30.303030303030305</v>
      </c>
      <c r="S126" s="318">
        <v>44223</v>
      </c>
      <c r="T126" s="318">
        <v>44390</v>
      </c>
      <c r="V126" s="318"/>
    </row>
    <row r="127" spans="1:23" ht="21.75" customHeight="1" x14ac:dyDescent="0.35">
      <c r="A127" s="184">
        <v>10773</v>
      </c>
      <c r="B127" s="198" t="s">
        <v>561</v>
      </c>
      <c r="C127" s="198" t="s">
        <v>562</v>
      </c>
      <c r="D127" s="96">
        <v>1162</v>
      </c>
      <c r="E127" s="179">
        <v>407</v>
      </c>
      <c r="F127" s="179">
        <v>131</v>
      </c>
      <c r="G127" s="179">
        <v>12</v>
      </c>
      <c r="H127" s="179">
        <v>18</v>
      </c>
      <c r="I127" s="179">
        <v>2</v>
      </c>
      <c r="J127" s="180">
        <f t="shared" si="5"/>
        <v>1732</v>
      </c>
      <c r="K127" s="190" t="str">
        <f t="shared" si="7"/>
        <v>S</v>
      </c>
      <c r="L127" s="191"/>
      <c r="M127" s="191"/>
      <c r="N127" s="191"/>
      <c r="O127" s="181">
        <f t="shared" si="6"/>
        <v>300000</v>
      </c>
      <c r="P127" s="249">
        <f t="shared" si="10"/>
        <v>100000</v>
      </c>
      <c r="Q127" s="307">
        <f t="shared" si="9"/>
        <v>33.333333333333336</v>
      </c>
      <c r="S127" s="318">
        <v>44223</v>
      </c>
      <c r="T127" s="318">
        <v>44390</v>
      </c>
      <c r="V127" s="318"/>
    </row>
    <row r="128" spans="1:23" ht="21.75" customHeight="1" x14ac:dyDescent="0.35">
      <c r="A128" s="184">
        <v>10773</v>
      </c>
      <c r="B128" s="196" t="s">
        <v>563</v>
      </c>
      <c r="C128" s="196" t="s">
        <v>564</v>
      </c>
      <c r="D128" s="98">
        <v>1960</v>
      </c>
      <c r="E128" s="179">
        <v>777</v>
      </c>
      <c r="F128" s="179">
        <v>190</v>
      </c>
      <c r="G128" s="179">
        <v>13</v>
      </c>
      <c r="H128" s="179">
        <v>26</v>
      </c>
      <c r="I128" s="179">
        <v>4</v>
      </c>
      <c r="J128" s="180">
        <f t="shared" si="5"/>
        <v>2970</v>
      </c>
      <c r="K128" s="190" t="str">
        <f t="shared" si="7"/>
        <v>S</v>
      </c>
      <c r="L128" s="191"/>
      <c r="M128" s="191"/>
      <c r="N128" s="191"/>
      <c r="O128" s="181">
        <f t="shared" si="6"/>
        <v>300000</v>
      </c>
      <c r="P128" s="249">
        <f t="shared" si="10"/>
        <v>100000</v>
      </c>
      <c r="Q128" s="307">
        <f t="shared" si="9"/>
        <v>33.333333333333336</v>
      </c>
      <c r="S128" s="318">
        <v>44223</v>
      </c>
      <c r="T128" s="318">
        <v>44390</v>
      </c>
      <c r="V128" s="318"/>
    </row>
    <row r="129" spans="1:22" ht="21.75" customHeight="1" x14ac:dyDescent="0.35">
      <c r="A129" s="184">
        <v>10773</v>
      </c>
      <c r="B129" s="198" t="s">
        <v>565</v>
      </c>
      <c r="C129" s="198" t="s">
        <v>370</v>
      </c>
      <c r="D129" s="96">
        <v>990</v>
      </c>
      <c r="E129" s="179">
        <v>445</v>
      </c>
      <c r="F129" s="179">
        <v>82</v>
      </c>
      <c r="G129" s="179">
        <v>9</v>
      </c>
      <c r="H129" s="179">
        <v>8</v>
      </c>
      <c r="I129" s="179">
        <v>0</v>
      </c>
      <c r="J129" s="180">
        <f t="shared" si="5"/>
        <v>1534</v>
      </c>
      <c r="K129" s="190" t="str">
        <f t="shared" si="7"/>
        <v>S</v>
      </c>
      <c r="L129" s="191"/>
      <c r="M129" s="191"/>
      <c r="N129" s="191"/>
      <c r="O129" s="181">
        <f t="shared" si="6"/>
        <v>300000</v>
      </c>
      <c r="P129" s="249">
        <f t="shared" si="10"/>
        <v>100000</v>
      </c>
      <c r="Q129" s="307">
        <f t="shared" si="9"/>
        <v>33.333333333333336</v>
      </c>
      <c r="S129" s="318">
        <v>44223</v>
      </c>
      <c r="T129" s="318">
        <v>44390</v>
      </c>
      <c r="V129" s="318"/>
    </row>
    <row r="130" spans="1:22" ht="21.75" customHeight="1" x14ac:dyDescent="0.35">
      <c r="A130" s="184">
        <v>10773</v>
      </c>
      <c r="B130" s="196" t="s">
        <v>566</v>
      </c>
      <c r="C130" s="196" t="s">
        <v>567</v>
      </c>
      <c r="D130" s="98">
        <v>1676</v>
      </c>
      <c r="E130" s="179">
        <v>741</v>
      </c>
      <c r="F130" s="179">
        <v>403</v>
      </c>
      <c r="G130" s="179">
        <v>39</v>
      </c>
      <c r="H130" s="179">
        <v>46</v>
      </c>
      <c r="I130" s="179">
        <v>6</v>
      </c>
      <c r="J130" s="180">
        <f t="shared" si="5"/>
        <v>2911</v>
      </c>
      <c r="K130" s="190" t="str">
        <f t="shared" si="7"/>
        <v>S</v>
      </c>
      <c r="L130" s="191"/>
      <c r="M130" s="191"/>
      <c r="N130" s="191"/>
      <c r="O130" s="181">
        <f t="shared" si="6"/>
        <v>300000</v>
      </c>
      <c r="P130" s="249">
        <f t="shared" si="10"/>
        <v>100000</v>
      </c>
      <c r="Q130" s="307">
        <f t="shared" si="9"/>
        <v>33.333333333333336</v>
      </c>
      <c r="S130" s="318">
        <v>44223</v>
      </c>
      <c r="T130" s="318">
        <v>44390</v>
      </c>
      <c r="V130" s="318"/>
    </row>
    <row r="131" spans="1:22" ht="21.75" customHeight="1" x14ac:dyDescent="0.35">
      <c r="A131" s="184">
        <v>10773</v>
      </c>
      <c r="B131" s="198" t="s">
        <v>568</v>
      </c>
      <c r="C131" s="198" t="s">
        <v>569</v>
      </c>
      <c r="D131" s="96">
        <v>1313</v>
      </c>
      <c r="E131" s="179">
        <v>557</v>
      </c>
      <c r="F131" s="179">
        <v>149</v>
      </c>
      <c r="G131" s="179">
        <v>13</v>
      </c>
      <c r="H131" s="179">
        <v>21</v>
      </c>
      <c r="I131" s="179">
        <v>3</v>
      </c>
      <c r="J131" s="180">
        <f t="shared" si="5"/>
        <v>2056</v>
      </c>
      <c r="K131" s="190" t="str">
        <f t="shared" si="7"/>
        <v>S</v>
      </c>
      <c r="L131" s="191"/>
      <c r="M131" s="191"/>
      <c r="N131" s="191"/>
      <c r="O131" s="181">
        <f t="shared" si="6"/>
        <v>300000</v>
      </c>
      <c r="P131" s="249">
        <f t="shared" si="10"/>
        <v>100000</v>
      </c>
      <c r="Q131" s="307">
        <f t="shared" si="9"/>
        <v>33.333333333333336</v>
      </c>
      <c r="S131" s="318">
        <v>44223</v>
      </c>
      <c r="T131" s="318">
        <v>44390</v>
      </c>
      <c r="V131" s="318"/>
    </row>
    <row r="132" spans="1:22" ht="21.75" customHeight="1" x14ac:dyDescent="0.35">
      <c r="A132" s="184">
        <v>10773</v>
      </c>
      <c r="B132" s="196" t="s">
        <v>326</v>
      </c>
      <c r="C132" s="196" t="s">
        <v>327</v>
      </c>
      <c r="D132" s="98">
        <v>2292</v>
      </c>
      <c r="E132" s="179">
        <v>842</v>
      </c>
      <c r="F132" s="179">
        <v>237</v>
      </c>
      <c r="G132" s="179">
        <v>25</v>
      </c>
      <c r="H132" s="179">
        <v>35</v>
      </c>
      <c r="I132" s="179">
        <v>2</v>
      </c>
      <c r="J132" s="180">
        <f t="shared" si="5"/>
        <v>3433</v>
      </c>
      <c r="K132" s="190" t="str">
        <f t="shared" si="7"/>
        <v>M</v>
      </c>
      <c r="L132" s="191"/>
      <c r="M132" s="191"/>
      <c r="N132" s="191"/>
      <c r="O132" s="181">
        <f t="shared" si="6"/>
        <v>330000</v>
      </c>
      <c r="P132" s="249">
        <f t="shared" si="10"/>
        <v>100000</v>
      </c>
      <c r="Q132" s="307">
        <f t="shared" si="9"/>
        <v>30.303030303030305</v>
      </c>
      <c r="S132" s="318">
        <v>44223</v>
      </c>
      <c r="T132" s="318">
        <v>44390</v>
      </c>
      <c r="V132" s="318"/>
    </row>
    <row r="133" spans="1:22" ht="21.75" customHeight="1" x14ac:dyDescent="0.35">
      <c r="A133" s="184">
        <v>10773</v>
      </c>
      <c r="B133" s="198" t="s">
        <v>328</v>
      </c>
      <c r="C133" s="198" t="s">
        <v>329</v>
      </c>
      <c r="D133" s="96">
        <v>1531</v>
      </c>
      <c r="E133" s="179">
        <v>790</v>
      </c>
      <c r="F133" s="179">
        <v>241</v>
      </c>
      <c r="G133" s="179">
        <v>40</v>
      </c>
      <c r="H133" s="179">
        <v>54</v>
      </c>
      <c r="I133" s="179">
        <v>7</v>
      </c>
      <c r="J133" s="180">
        <f t="shared" ref="J133:J196" si="11">SUM(D133:I133)</f>
        <v>2663</v>
      </c>
      <c r="K133" s="190" t="str">
        <f t="shared" si="7"/>
        <v>S</v>
      </c>
      <c r="L133" s="191"/>
      <c r="M133" s="191"/>
      <c r="N133" s="191"/>
      <c r="O133" s="181">
        <f t="shared" ref="O133:O196" si="12">VLOOKUP(J133,$O$217:$P$220,2)</f>
        <v>300000</v>
      </c>
      <c r="P133" s="249">
        <f t="shared" si="10"/>
        <v>100000</v>
      </c>
      <c r="Q133" s="307">
        <f t="shared" si="9"/>
        <v>33.333333333333336</v>
      </c>
      <c r="S133" s="318">
        <v>44223</v>
      </c>
      <c r="T133" s="318">
        <v>44390</v>
      </c>
      <c r="V133" s="318"/>
    </row>
    <row r="134" spans="1:22" ht="21.75" customHeight="1" x14ac:dyDescent="0.35">
      <c r="A134" s="184">
        <v>10773</v>
      </c>
      <c r="B134" s="196" t="s">
        <v>570</v>
      </c>
      <c r="C134" s="196" t="s">
        <v>571</v>
      </c>
      <c r="D134" s="98">
        <v>585</v>
      </c>
      <c r="E134" s="179">
        <v>257</v>
      </c>
      <c r="F134" s="179">
        <v>59</v>
      </c>
      <c r="G134" s="179">
        <v>2</v>
      </c>
      <c r="H134" s="179">
        <v>10</v>
      </c>
      <c r="I134" s="179">
        <v>2</v>
      </c>
      <c r="J134" s="180">
        <f t="shared" si="11"/>
        <v>915</v>
      </c>
      <c r="K134" s="190" t="str">
        <f t="shared" ref="K134:K197" si="13">VLOOKUP(J134,$N$212:$O$215,2)</f>
        <v>S</v>
      </c>
      <c r="L134" s="191"/>
      <c r="M134" s="191"/>
      <c r="N134" s="191"/>
      <c r="O134" s="181">
        <f t="shared" si="12"/>
        <v>300000</v>
      </c>
      <c r="P134" s="249">
        <f t="shared" si="10"/>
        <v>100000</v>
      </c>
      <c r="Q134" s="307">
        <f t="shared" si="9"/>
        <v>33.333333333333336</v>
      </c>
      <c r="S134" s="318">
        <v>44223</v>
      </c>
      <c r="T134" s="318">
        <v>44390</v>
      </c>
      <c r="V134" s="318"/>
    </row>
    <row r="135" spans="1:22" ht="21.75" customHeight="1" x14ac:dyDescent="0.35">
      <c r="A135" s="184">
        <v>10773</v>
      </c>
      <c r="B135" s="198" t="s">
        <v>572</v>
      </c>
      <c r="C135" s="198" t="s">
        <v>573</v>
      </c>
      <c r="D135" s="96">
        <v>1287</v>
      </c>
      <c r="E135" s="179">
        <v>610</v>
      </c>
      <c r="F135" s="179">
        <v>135</v>
      </c>
      <c r="G135" s="179">
        <v>18</v>
      </c>
      <c r="H135" s="179">
        <v>21</v>
      </c>
      <c r="I135" s="179">
        <v>4</v>
      </c>
      <c r="J135" s="180">
        <f t="shared" si="11"/>
        <v>2075</v>
      </c>
      <c r="K135" s="190" t="str">
        <f t="shared" si="13"/>
        <v>S</v>
      </c>
      <c r="L135" s="191"/>
      <c r="M135" s="191"/>
      <c r="N135" s="191"/>
      <c r="O135" s="181">
        <f t="shared" si="12"/>
        <v>300000</v>
      </c>
      <c r="P135" s="249">
        <f t="shared" si="10"/>
        <v>100000</v>
      </c>
      <c r="Q135" s="307">
        <f t="shared" si="9"/>
        <v>33.333333333333336</v>
      </c>
      <c r="S135" s="318">
        <v>44223</v>
      </c>
      <c r="T135" s="318">
        <v>44390</v>
      </c>
      <c r="V135" s="318"/>
    </row>
    <row r="136" spans="1:22" ht="21.75" customHeight="1" x14ac:dyDescent="0.35">
      <c r="A136" s="184">
        <v>10774</v>
      </c>
      <c r="B136" s="198" t="s">
        <v>576</v>
      </c>
      <c r="C136" s="198" t="s">
        <v>577</v>
      </c>
      <c r="D136" s="96">
        <v>2334</v>
      </c>
      <c r="E136" s="179">
        <v>807</v>
      </c>
      <c r="F136" s="179">
        <v>369</v>
      </c>
      <c r="G136" s="179">
        <v>25</v>
      </c>
      <c r="H136" s="179">
        <v>54</v>
      </c>
      <c r="I136" s="179">
        <v>8</v>
      </c>
      <c r="J136" s="180">
        <f t="shared" si="11"/>
        <v>3597</v>
      </c>
      <c r="K136" s="190" t="str">
        <f t="shared" si="13"/>
        <v>M</v>
      </c>
      <c r="L136" s="191"/>
      <c r="M136" s="191"/>
      <c r="N136" s="191"/>
      <c r="O136" s="181">
        <f t="shared" si="12"/>
        <v>330000</v>
      </c>
      <c r="P136" s="249">
        <f>165000+165000</f>
        <v>330000</v>
      </c>
      <c r="Q136" s="307">
        <f t="shared" si="9"/>
        <v>100</v>
      </c>
      <c r="S136" s="318">
        <v>44204</v>
      </c>
      <c r="T136" s="318">
        <v>44377</v>
      </c>
      <c r="V136" s="318"/>
    </row>
    <row r="137" spans="1:22" ht="21.75" customHeight="1" x14ac:dyDescent="0.35">
      <c r="A137" s="184">
        <v>10774</v>
      </c>
      <c r="B137" s="196" t="s">
        <v>578</v>
      </c>
      <c r="C137" s="196" t="s">
        <v>579</v>
      </c>
      <c r="D137" s="98">
        <v>1262</v>
      </c>
      <c r="E137" s="179">
        <v>475</v>
      </c>
      <c r="F137" s="179">
        <v>201</v>
      </c>
      <c r="G137" s="179">
        <v>27</v>
      </c>
      <c r="H137" s="179">
        <v>26</v>
      </c>
      <c r="I137" s="179">
        <v>2</v>
      </c>
      <c r="J137" s="180">
        <f t="shared" si="11"/>
        <v>1993</v>
      </c>
      <c r="K137" s="190" t="str">
        <f t="shared" si="13"/>
        <v>S</v>
      </c>
      <c r="L137" s="191"/>
      <c r="M137" s="191"/>
      <c r="N137" s="191"/>
      <c r="O137" s="181">
        <f t="shared" si="12"/>
        <v>300000</v>
      </c>
      <c r="P137" s="249">
        <f t="shared" ref="P137:P146" si="14">150000+150000</f>
        <v>300000</v>
      </c>
      <c r="Q137" s="307">
        <f t="shared" si="9"/>
        <v>100</v>
      </c>
      <c r="S137" s="318">
        <v>44204</v>
      </c>
      <c r="T137" s="318">
        <v>44377</v>
      </c>
      <c r="V137" s="318"/>
    </row>
    <row r="138" spans="1:22" ht="21.75" customHeight="1" x14ac:dyDescent="0.35">
      <c r="A138" s="184">
        <v>10774</v>
      </c>
      <c r="B138" s="198" t="s">
        <v>580</v>
      </c>
      <c r="C138" s="198" t="s">
        <v>581</v>
      </c>
      <c r="D138" s="96">
        <v>1789</v>
      </c>
      <c r="E138" s="179">
        <v>747</v>
      </c>
      <c r="F138" s="179">
        <v>245</v>
      </c>
      <c r="G138" s="179">
        <v>23</v>
      </c>
      <c r="H138" s="179">
        <v>37</v>
      </c>
      <c r="I138" s="179">
        <v>6</v>
      </c>
      <c r="J138" s="180">
        <f t="shared" si="11"/>
        <v>2847</v>
      </c>
      <c r="K138" s="190" t="str">
        <f t="shared" si="13"/>
        <v>S</v>
      </c>
      <c r="L138" s="191"/>
      <c r="M138" s="191"/>
      <c r="N138" s="191"/>
      <c r="O138" s="181">
        <f t="shared" si="12"/>
        <v>300000</v>
      </c>
      <c r="P138" s="249">
        <f t="shared" si="14"/>
        <v>300000</v>
      </c>
      <c r="Q138" s="307">
        <f t="shared" si="9"/>
        <v>100</v>
      </c>
      <c r="S138" s="318">
        <v>44204</v>
      </c>
      <c r="T138" s="318">
        <v>44377</v>
      </c>
      <c r="V138" s="318"/>
    </row>
    <row r="139" spans="1:22" ht="21.75" customHeight="1" x14ac:dyDescent="0.35">
      <c r="A139" s="184">
        <v>10774</v>
      </c>
      <c r="B139" s="196" t="s">
        <v>582</v>
      </c>
      <c r="C139" s="196" t="s">
        <v>583</v>
      </c>
      <c r="D139" s="98">
        <v>1236</v>
      </c>
      <c r="E139" s="179">
        <v>576</v>
      </c>
      <c r="F139" s="179">
        <v>139</v>
      </c>
      <c r="G139" s="179">
        <v>25</v>
      </c>
      <c r="H139" s="179">
        <v>34</v>
      </c>
      <c r="I139" s="179">
        <v>2</v>
      </c>
      <c r="J139" s="180">
        <f t="shared" si="11"/>
        <v>2012</v>
      </c>
      <c r="K139" s="190" t="str">
        <f t="shared" si="13"/>
        <v>S</v>
      </c>
      <c r="L139" s="191"/>
      <c r="M139" s="191"/>
      <c r="N139" s="191"/>
      <c r="O139" s="181">
        <f t="shared" si="12"/>
        <v>300000</v>
      </c>
      <c r="P139" s="249">
        <f t="shared" si="14"/>
        <v>300000</v>
      </c>
      <c r="Q139" s="307">
        <f t="shared" si="9"/>
        <v>100</v>
      </c>
      <c r="S139" s="318">
        <v>44204</v>
      </c>
      <c r="T139" s="318">
        <v>44377</v>
      </c>
      <c r="V139" s="318"/>
    </row>
    <row r="140" spans="1:22" ht="21.75" customHeight="1" x14ac:dyDescent="0.35">
      <c r="A140" s="184">
        <v>10774</v>
      </c>
      <c r="B140" s="196" t="s">
        <v>380</v>
      </c>
      <c r="C140" s="196" t="s">
        <v>381</v>
      </c>
      <c r="D140" s="98">
        <v>1048</v>
      </c>
      <c r="E140" s="179">
        <v>528</v>
      </c>
      <c r="F140" s="179">
        <v>161</v>
      </c>
      <c r="G140" s="179">
        <v>38</v>
      </c>
      <c r="H140" s="179">
        <v>20</v>
      </c>
      <c r="I140" s="179">
        <v>7</v>
      </c>
      <c r="J140" s="180">
        <f t="shared" si="11"/>
        <v>1802</v>
      </c>
      <c r="K140" s="190" t="str">
        <f t="shared" si="13"/>
        <v>S</v>
      </c>
      <c r="L140" s="191"/>
      <c r="M140" s="191"/>
      <c r="N140" s="191"/>
      <c r="O140" s="181">
        <f t="shared" si="12"/>
        <v>300000</v>
      </c>
      <c r="P140" s="249">
        <f t="shared" si="14"/>
        <v>300000</v>
      </c>
      <c r="Q140" s="307">
        <f t="shared" si="9"/>
        <v>100</v>
      </c>
      <c r="S140" s="318">
        <v>44204</v>
      </c>
      <c r="T140" s="318">
        <v>44377</v>
      </c>
      <c r="V140" s="318"/>
    </row>
    <row r="141" spans="1:22" ht="21.75" customHeight="1" x14ac:dyDescent="0.35">
      <c r="A141" s="184">
        <v>10774</v>
      </c>
      <c r="B141" s="198" t="s">
        <v>584</v>
      </c>
      <c r="C141" s="198" t="s">
        <v>585</v>
      </c>
      <c r="D141" s="199">
        <v>1241</v>
      </c>
      <c r="E141" s="179">
        <v>418</v>
      </c>
      <c r="F141" s="179">
        <v>92</v>
      </c>
      <c r="G141" s="179">
        <v>3</v>
      </c>
      <c r="H141" s="179">
        <v>10</v>
      </c>
      <c r="I141" s="179">
        <v>2</v>
      </c>
      <c r="J141" s="180">
        <f t="shared" si="11"/>
        <v>1766</v>
      </c>
      <c r="K141" s="190" t="str">
        <f t="shared" si="13"/>
        <v>S</v>
      </c>
      <c r="L141" s="191"/>
      <c r="M141" s="191"/>
      <c r="N141" s="191"/>
      <c r="O141" s="181">
        <f t="shared" si="12"/>
        <v>300000</v>
      </c>
      <c r="P141" s="249">
        <f t="shared" si="14"/>
        <v>300000</v>
      </c>
      <c r="Q141" s="307">
        <f t="shared" si="9"/>
        <v>100</v>
      </c>
      <c r="S141" s="318">
        <v>44204</v>
      </c>
      <c r="T141" s="318">
        <v>44377</v>
      </c>
      <c r="V141" s="318"/>
    </row>
    <row r="142" spans="1:22" ht="21.75" customHeight="1" x14ac:dyDescent="0.35">
      <c r="A142" s="184">
        <v>10774</v>
      </c>
      <c r="B142" s="196" t="s">
        <v>586</v>
      </c>
      <c r="C142" s="196" t="s">
        <v>587</v>
      </c>
      <c r="D142" s="98">
        <v>1146</v>
      </c>
      <c r="E142" s="179">
        <v>416</v>
      </c>
      <c r="F142" s="179">
        <v>120</v>
      </c>
      <c r="G142" s="179">
        <v>23</v>
      </c>
      <c r="H142" s="179">
        <v>16</v>
      </c>
      <c r="I142" s="179">
        <v>1</v>
      </c>
      <c r="J142" s="180">
        <f t="shared" si="11"/>
        <v>1722</v>
      </c>
      <c r="K142" s="190" t="str">
        <f t="shared" si="13"/>
        <v>S</v>
      </c>
      <c r="L142" s="191"/>
      <c r="M142" s="191"/>
      <c r="N142" s="191"/>
      <c r="O142" s="181">
        <f t="shared" si="12"/>
        <v>300000</v>
      </c>
      <c r="P142" s="249">
        <f t="shared" si="14"/>
        <v>300000</v>
      </c>
      <c r="Q142" s="307">
        <f t="shared" si="9"/>
        <v>100</v>
      </c>
      <c r="S142" s="318">
        <v>44204</v>
      </c>
      <c r="T142" s="318">
        <v>44377</v>
      </c>
      <c r="V142" s="318"/>
    </row>
    <row r="143" spans="1:22" ht="21.75" customHeight="1" x14ac:dyDescent="0.35">
      <c r="A143" s="184">
        <v>10774</v>
      </c>
      <c r="B143" s="198" t="s">
        <v>588</v>
      </c>
      <c r="C143" s="198" t="s">
        <v>589</v>
      </c>
      <c r="D143" s="96">
        <v>1269</v>
      </c>
      <c r="E143" s="179">
        <v>562</v>
      </c>
      <c r="F143" s="179">
        <v>220</v>
      </c>
      <c r="G143" s="179">
        <v>14</v>
      </c>
      <c r="H143" s="179">
        <v>20</v>
      </c>
      <c r="I143" s="179">
        <v>3</v>
      </c>
      <c r="J143" s="180">
        <f t="shared" si="11"/>
        <v>2088</v>
      </c>
      <c r="K143" s="190" t="str">
        <f t="shared" si="13"/>
        <v>S</v>
      </c>
      <c r="L143" s="191"/>
      <c r="M143" s="191"/>
      <c r="N143" s="191"/>
      <c r="O143" s="181">
        <f t="shared" si="12"/>
        <v>300000</v>
      </c>
      <c r="P143" s="249">
        <f t="shared" si="14"/>
        <v>300000</v>
      </c>
      <c r="Q143" s="307">
        <f t="shared" si="9"/>
        <v>100</v>
      </c>
      <c r="S143" s="318">
        <v>44204</v>
      </c>
      <c r="T143" s="318">
        <v>44377</v>
      </c>
      <c r="V143" s="318"/>
    </row>
    <row r="144" spans="1:22" ht="21.75" customHeight="1" x14ac:dyDescent="0.35">
      <c r="A144" s="184">
        <v>10774</v>
      </c>
      <c r="B144" s="196" t="s">
        <v>590</v>
      </c>
      <c r="C144" s="196" t="s">
        <v>591</v>
      </c>
      <c r="D144" s="197">
        <v>832</v>
      </c>
      <c r="E144" s="179">
        <v>284</v>
      </c>
      <c r="F144" s="179">
        <v>49</v>
      </c>
      <c r="G144" s="179">
        <v>7</v>
      </c>
      <c r="H144" s="179">
        <v>8</v>
      </c>
      <c r="I144" s="179">
        <v>1</v>
      </c>
      <c r="J144" s="180">
        <f t="shared" si="11"/>
        <v>1181</v>
      </c>
      <c r="K144" s="190" t="str">
        <f t="shared" si="13"/>
        <v>S</v>
      </c>
      <c r="L144" s="191"/>
      <c r="M144" s="191"/>
      <c r="N144" s="191"/>
      <c r="O144" s="181">
        <f t="shared" si="12"/>
        <v>300000</v>
      </c>
      <c r="P144" s="249">
        <f t="shared" si="14"/>
        <v>300000</v>
      </c>
      <c r="Q144" s="307">
        <f t="shared" si="9"/>
        <v>100</v>
      </c>
      <c r="S144" s="318">
        <v>44204</v>
      </c>
      <c r="T144" s="318">
        <v>44377</v>
      </c>
      <c r="V144" s="318"/>
    </row>
    <row r="145" spans="1:22" ht="21.75" customHeight="1" x14ac:dyDescent="0.35">
      <c r="A145" s="184">
        <v>10774</v>
      </c>
      <c r="B145" s="198" t="s">
        <v>592</v>
      </c>
      <c r="C145" s="198" t="s">
        <v>373</v>
      </c>
      <c r="D145" s="96">
        <v>927</v>
      </c>
      <c r="E145" s="179">
        <v>361</v>
      </c>
      <c r="F145" s="179">
        <v>101</v>
      </c>
      <c r="G145" s="179">
        <v>12</v>
      </c>
      <c r="H145" s="179">
        <v>9.1999999999999993</v>
      </c>
      <c r="I145" s="179">
        <v>0</v>
      </c>
      <c r="J145" s="180">
        <f t="shared" si="11"/>
        <v>1410.2</v>
      </c>
      <c r="K145" s="190" t="str">
        <f t="shared" si="13"/>
        <v>S</v>
      </c>
      <c r="L145" s="191"/>
      <c r="M145" s="191"/>
      <c r="N145" s="191"/>
      <c r="O145" s="181">
        <f t="shared" si="12"/>
        <v>300000</v>
      </c>
      <c r="P145" s="249">
        <f t="shared" si="14"/>
        <v>300000</v>
      </c>
      <c r="Q145" s="307">
        <f t="shared" si="9"/>
        <v>100</v>
      </c>
      <c r="S145" s="318">
        <v>44204</v>
      </c>
      <c r="T145" s="318">
        <v>44377</v>
      </c>
      <c r="V145" s="318"/>
    </row>
    <row r="146" spans="1:22" ht="21.75" customHeight="1" x14ac:dyDescent="0.35">
      <c r="A146" s="184">
        <v>10774</v>
      </c>
      <c r="B146" s="196" t="s">
        <v>593</v>
      </c>
      <c r="C146" s="196" t="s">
        <v>594</v>
      </c>
      <c r="D146" s="98">
        <v>1257</v>
      </c>
      <c r="E146" s="179">
        <v>496</v>
      </c>
      <c r="F146" s="179">
        <v>147</v>
      </c>
      <c r="G146" s="179">
        <v>13</v>
      </c>
      <c r="H146" s="179">
        <v>17</v>
      </c>
      <c r="I146" s="179">
        <v>2</v>
      </c>
      <c r="J146" s="180">
        <f t="shared" si="11"/>
        <v>1932</v>
      </c>
      <c r="K146" s="190" t="str">
        <f t="shared" si="13"/>
        <v>S</v>
      </c>
      <c r="L146" s="191"/>
      <c r="M146" s="191"/>
      <c r="N146" s="191"/>
      <c r="O146" s="181">
        <f t="shared" si="12"/>
        <v>300000</v>
      </c>
      <c r="P146" s="249">
        <f t="shared" si="14"/>
        <v>300000</v>
      </c>
      <c r="Q146" s="307">
        <f t="shared" si="9"/>
        <v>100</v>
      </c>
      <c r="S146" s="318">
        <v>44204</v>
      </c>
      <c r="T146" s="318">
        <v>44377</v>
      </c>
      <c r="V146" s="318"/>
    </row>
    <row r="147" spans="1:22" ht="21.75" customHeight="1" x14ac:dyDescent="0.35">
      <c r="A147" s="184">
        <v>10774</v>
      </c>
      <c r="B147" s="198" t="s">
        <v>595</v>
      </c>
      <c r="C147" s="198" t="s">
        <v>596</v>
      </c>
      <c r="D147" s="96">
        <v>3839</v>
      </c>
      <c r="E147" s="179">
        <v>1286</v>
      </c>
      <c r="F147" s="179">
        <v>244</v>
      </c>
      <c r="G147" s="179">
        <v>89</v>
      </c>
      <c r="H147" s="179">
        <v>47</v>
      </c>
      <c r="I147" s="179">
        <v>12</v>
      </c>
      <c r="J147" s="180">
        <f t="shared" si="11"/>
        <v>5517</v>
      </c>
      <c r="K147" s="190" t="str">
        <f t="shared" si="13"/>
        <v>M</v>
      </c>
      <c r="L147" s="191"/>
      <c r="M147" s="191"/>
      <c r="N147" s="191"/>
      <c r="O147" s="181">
        <f t="shared" si="12"/>
        <v>330000</v>
      </c>
      <c r="P147" s="249">
        <f>165000+165000</f>
        <v>330000</v>
      </c>
      <c r="Q147" s="307">
        <f t="shared" si="9"/>
        <v>100</v>
      </c>
      <c r="S147" s="318">
        <v>44204</v>
      </c>
      <c r="T147" s="318">
        <v>44377</v>
      </c>
      <c r="V147" s="318"/>
    </row>
    <row r="148" spans="1:22" ht="21.75" customHeight="1" x14ac:dyDescent="0.35">
      <c r="A148" s="184">
        <v>10774</v>
      </c>
      <c r="B148" s="196" t="s">
        <v>597</v>
      </c>
      <c r="C148" s="196" t="s">
        <v>598</v>
      </c>
      <c r="D148" s="98">
        <v>2437</v>
      </c>
      <c r="E148" s="179">
        <v>722</v>
      </c>
      <c r="F148" s="179">
        <v>237</v>
      </c>
      <c r="G148" s="179">
        <v>33</v>
      </c>
      <c r="H148" s="179">
        <v>18</v>
      </c>
      <c r="I148" s="179">
        <v>8</v>
      </c>
      <c r="J148" s="180">
        <f t="shared" si="11"/>
        <v>3455</v>
      </c>
      <c r="K148" s="190" t="str">
        <f t="shared" si="13"/>
        <v>M</v>
      </c>
      <c r="L148" s="191"/>
      <c r="M148" s="191"/>
      <c r="N148" s="191"/>
      <c r="O148" s="181">
        <f t="shared" si="12"/>
        <v>330000</v>
      </c>
      <c r="P148" s="249">
        <f>165000+165000</f>
        <v>330000</v>
      </c>
      <c r="Q148" s="307">
        <f t="shared" si="9"/>
        <v>100</v>
      </c>
      <c r="S148" s="318">
        <v>44204</v>
      </c>
      <c r="T148" s="318">
        <v>44377</v>
      </c>
      <c r="V148" s="318"/>
    </row>
    <row r="149" spans="1:22" ht="21.75" customHeight="1" x14ac:dyDescent="0.35">
      <c r="A149" s="184">
        <v>10774</v>
      </c>
      <c r="B149" s="198" t="s">
        <v>599</v>
      </c>
      <c r="C149" s="198" t="s">
        <v>600</v>
      </c>
      <c r="D149" s="96">
        <v>1450</v>
      </c>
      <c r="E149" s="179">
        <v>442</v>
      </c>
      <c r="F149" s="179">
        <v>148</v>
      </c>
      <c r="G149" s="179">
        <v>14</v>
      </c>
      <c r="H149" s="179">
        <v>29</v>
      </c>
      <c r="I149" s="179">
        <v>2</v>
      </c>
      <c r="J149" s="180">
        <f t="shared" si="11"/>
        <v>2085</v>
      </c>
      <c r="K149" s="190" t="str">
        <f t="shared" si="13"/>
        <v>S</v>
      </c>
      <c r="L149" s="191"/>
      <c r="M149" s="191"/>
      <c r="N149" s="191"/>
      <c r="O149" s="181">
        <f t="shared" si="12"/>
        <v>300000</v>
      </c>
      <c r="P149" s="249">
        <f>150000+150000</f>
        <v>300000</v>
      </c>
      <c r="Q149" s="307">
        <f t="shared" si="9"/>
        <v>100</v>
      </c>
      <c r="S149" s="318">
        <v>44204</v>
      </c>
      <c r="T149" s="318">
        <v>44377</v>
      </c>
      <c r="V149" s="318"/>
    </row>
    <row r="150" spans="1:22" ht="21.75" customHeight="1" x14ac:dyDescent="0.35">
      <c r="A150" s="184">
        <v>10774</v>
      </c>
      <c r="B150" s="196" t="s">
        <v>601</v>
      </c>
      <c r="C150" s="196" t="s">
        <v>602</v>
      </c>
      <c r="D150" s="98">
        <v>1197</v>
      </c>
      <c r="E150" s="179">
        <v>577</v>
      </c>
      <c r="F150" s="179">
        <v>217</v>
      </c>
      <c r="G150" s="179">
        <v>18</v>
      </c>
      <c r="H150" s="179">
        <v>29</v>
      </c>
      <c r="I150" s="179">
        <v>0</v>
      </c>
      <c r="J150" s="180">
        <f t="shared" si="11"/>
        <v>2038</v>
      </c>
      <c r="K150" s="190" t="str">
        <f t="shared" si="13"/>
        <v>S</v>
      </c>
      <c r="L150" s="191"/>
      <c r="M150" s="191"/>
      <c r="N150" s="191"/>
      <c r="O150" s="181">
        <f t="shared" si="12"/>
        <v>300000</v>
      </c>
      <c r="P150" s="249">
        <f>150000+150000</f>
        <v>300000</v>
      </c>
      <c r="Q150" s="307">
        <f t="shared" ref="Q150:Q209" si="15">+P150*100/O150</f>
        <v>100</v>
      </c>
      <c r="S150" s="318">
        <v>44204</v>
      </c>
      <c r="T150" s="318">
        <v>44377</v>
      </c>
      <c r="V150" s="318"/>
    </row>
    <row r="151" spans="1:22" ht="21.75" customHeight="1" x14ac:dyDescent="0.35">
      <c r="A151" s="184">
        <v>10775</v>
      </c>
      <c r="B151" s="196" t="s">
        <v>605</v>
      </c>
      <c r="C151" s="196" t="s">
        <v>606</v>
      </c>
      <c r="D151" s="98">
        <v>1868</v>
      </c>
      <c r="E151" s="179">
        <v>1196</v>
      </c>
      <c r="F151" s="179">
        <v>258</v>
      </c>
      <c r="G151" s="179">
        <v>31</v>
      </c>
      <c r="H151" s="179">
        <v>53</v>
      </c>
      <c r="I151" s="179">
        <v>4</v>
      </c>
      <c r="J151" s="180">
        <f t="shared" si="11"/>
        <v>3410</v>
      </c>
      <c r="K151" s="190" t="str">
        <f t="shared" si="13"/>
        <v>M</v>
      </c>
      <c r="L151" s="191"/>
      <c r="M151" s="191"/>
      <c r="N151" s="191"/>
      <c r="O151" s="181">
        <f t="shared" si="12"/>
        <v>330000</v>
      </c>
      <c r="P151" s="249">
        <f>210000+90000</f>
        <v>300000</v>
      </c>
      <c r="Q151" s="307">
        <f t="shared" si="15"/>
        <v>90.909090909090907</v>
      </c>
      <c r="S151" s="318">
        <v>44130</v>
      </c>
      <c r="T151" s="318">
        <v>44378</v>
      </c>
      <c r="V151" s="318"/>
    </row>
    <row r="152" spans="1:22" ht="21.75" customHeight="1" x14ac:dyDescent="0.35">
      <c r="A152" s="184">
        <v>10775</v>
      </c>
      <c r="B152" s="198" t="s">
        <v>607</v>
      </c>
      <c r="C152" s="198" t="s">
        <v>608</v>
      </c>
      <c r="D152" s="96">
        <v>3077</v>
      </c>
      <c r="E152" s="179">
        <v>1285</v>
      </c>
      <c r="F152" s="179">
        <v>177</v>
      </c>
      <c r="G152" s="179">
        <v>28</v>
      </c>
      <c r="H152" s="179">
        <v>30</v>
      </c>
      <c r="I152" s="179">
        <v>8</v>
      </c>
      <c r="J152" s="180">
        <f t="shared" si="11"/>
        <v>4605</v>
      </c>
      <c r="K152" s="190" t="str">
        <f t="shared" si="13"/>
        <v>M</v>
      </c>
      <c r="L152" s="191"/>
      <c r="M152" s="191"/>
      <c r="N152" s="191"/>
      <c r="O152" s="181">
        <f t="shared" si="12"/>
        <v>330000</v>
      </c>
      <c r="P152" s="249">
        <f>231000+140000</f>
        <v>371000</v>
      </c>
      <c r="Q152" s="307">
        <f t="shared" si="15"/>
        <v>112.42424242424242</v>
      </c>
      <c r="S152" s="318">
        <v>44130</v>
      </c>
      <c r="T152" s="318">
        <v>44378</v>
      </c>
      <c r="V152" s="318"/>
    </row>
    <row r="153" spans="1:22" ht="21.75" customHeight="1" x14ac:dyDescent="0.35">
      <c r="A153" s="184">
        <v>10775</v>
      </c>
      <c r="B153" s="196" t="s">
        <v>609</v>
      </c>
      <c r="C153" s="196" t="s">
        <v>610</v>
      </c>
      <c r="D153" s="98">
        <v>1965</v>
      </c>
      <c r="E153" s="179">
        <v>855</v>
      </c>
      <c r="F153" s="179">
        <v>217</v>
      </c>
      <c r="G153" s="179">
        <v>21</v>
      </c>
      <c r="H153" s="179">
        <v>26</v>
      </c>
      <c r="I153" s="179">
        <v>8</v>
      </c>
      <c r="J153" s="180">
        <f t="shared" si="11"/>
        <v>3092</v>
      </c>
      <c r="K153" s="190" t="str">
        <f t="shared" si="13"/>
        <v>M</v>
      </c>
      <c r="L153" s="191"/>
      <c r="M153" s="191"/>
      <c r="N153" s="191"/>
      <c r="O153" s="181">
        <f t="shared" si="12"/>
        <v>330000</v>
      </c>
      <c r="P153" s="249">
        <f>231000+50000</f>
        <v>281000</v>
      </c>
      <c r="Q153" s="307">
        <f t="shared" si="15"/>
        <v>85.151515151515156</v>
      </c>
      <c r="S153" s="318">
        <v>44130</v>
      </c>
      <c r="T153" s="318">
        <v>44378</v>
      </c>
      <c r="V153" s="318"/>
    </row>
    <row r="154" spans="1:22" ht="21.75" customHeight="1" x14ac:dyDescent="0.35">
      <c r="A154" s="184">
        <v>10775</v>
      </c>
      <c r="B154" s="198" t="s">
        <v>611</v>
      </c>
      <c r="C154" s="198" t="s">
        <v>612</v>
      </c>
      <c r="D154" s="96">
        <v>1579</v>
      </c>
      <c r="E154" s="179">
        <v>748</v>
      </c>
      <c r="F154" s="179">
        <v>257</v>
      </c>
      <c r="G154" s="179">
        <v>12</v>
      </c>
      <c r="H154" s="179">
        <v>37</v>
      </c>
      <c r="I154" s="179">
        <v>5</v>
      </c>
      <c r="J154" s="180">
        <f t="shared" si="11"/>
        <v>2638</v>
      </c>
      <c r="K154" s="190" t="str">
        <f t="shared" si="13"/>
        <v>S</v>
      </c>
      <c r="L154" s="191"/>
      <c r="M154" s="191"/>
      <c r="N154" s="191"/>
      <c r="O154" s="181">
        <f t="shared" si="12"/>
        <v>300000</v>
      </c>
      <c r="P154" s="249">
        <f>210000+60000</f>
        <v>270000</v>
      </c>
      <c r="Q154" s="307">
        <f t="shared" si="15"/>
        <v>90</v>
      </c>
      <c r="S154" s="318">
        <v>44130</v>
      </c>
      <c r="T154" s="318">
        <v>44378</v>
      </c>
      <c r="V154" s="318"/>
    </row>
    <row r="155" spans="1:22" ht="21.75" customHeight="1" x14ac:dyDescent="0.35">
      <c r="A155" s="184">
        <v>10775</v>
      </c>
      <c r="B155" s="196" t="s">
        <v>613</v>
      </c>
      <c r="C155" s="196" t="s">
        <v>614</v>
      </c>
      <c r="D155" s="98">
        <v>2099</v>
      </c>
      <c r="E155" s="179">
        <v>1160</v>
      </c>
      <c r="F155" s="179">
        <v>259</v>
      </c>
      <c r="G155" s="179">
        <v>26</v>
      </c>
      <c r="H155" s="179">
        <v>45</v>
      </c>
      <c r="I155" s="179">
        <v>5</v>
      </c>
      <c r="J155" s="180">
        <f t="shared" si="11"/>
        <v>3594</v>
      </c>
      <c r="K155" s="190" t="str">
        <f t="shared" si="13"/>
        <v>M</v>
      </c>
      <c r="L155" s="191"/>
      <c r="M155" s="191"/>
      <c r="N155" s="191"/>
      <c r="O155" s="181">
        <f t="shared" si="12"/>
        <v>330000</v>
      </c>
      <c r="P155" s="249">
        <f>231000+216000</f>
        <v>447000</v>
      </c>
      <c r="Q155" s="307">
        <f t="shared" si="15"/>
        <v>135.45454545454547</v>
      </c>
      <c r="S155" s="318">
        <v>44130</v>
      </c>
      <c r="T155" s="318">
        <v>44378</v>
      </c>
      <c r="V155" s="318"/>
    </row>
    <row r="156" spans="1:22" ht="21.75" customHeight="1" x14ac:dyDescent="0.35">
      <c r="A156" s="184">
        <v>10775</v>
      </c>
      <c r="B156" s="198" t="s">
        <v>615</v>
      </c>
      <c r="C156" s="198" t="s">
        <v>616</v>
      </c>
      <c r="D156" s="96">
        <v>2210</v>
      </c>
      <c r="E156" s="179">
        <v>1134</v>
      </c>
      <c r="F156" s="179">
        <v>170</v>
      </c>
      <c r="G156" s="179">
        <v>24</v>
      </c>
      <c r="H156" s="179">
        <v>34</v>
      </c>
      <c r="I156" s="179">
        <v>8</v>
      </c>
      <c r="J156" s="180">
        <f t="shared" si="11"/>
        <v>3580</v>
      </c>
      <c r="K156" s="190" t="str">
        <f t="shared" si="13"/>
        <v>M</v>
      </c>
      <c r="L156" s="191"/>
      <c r="M156" s="191"/>
      <c r="N156" s="191"/>
      <c r="O156" s="181">
        <f t="shared" si="12"/>
        <v>330000</v>
      </c>
      <c r="P156" s="249">
        <f>231000+20000</f>
        <v>251000</v>
      </c>
      <c r="Q156" s="307">
        <f t="shared" si="15"/>
        <v>76.060606060606062</v>
      </c>
      <c r="S156" s="318">
        <v>44130</v>
      </c>
      <c r="T156" s="318">
        <v>44378</v>
      </c>
      <c r="V156" s="318"/>
    </row>
    <row r="157" spans="1:22" ht="21.75" customHeight="1" x14ac:dyDescent="0.35">
      <c r="A157" s="184">
        <v>10775</v>
      </c>
      <c r="B157" s="196" t="s">
        <v>617</v>
      </c>
      <c r="C157" s="196" t="s">
        <v>618</v>
      </c>
      <c r="D157" s="98">
        <v>1546</v>
      </c>
      <c r="E157" s="179">
        <v>730</v>
      </c>
      <c r="F157" s="179">
        <v>115</v>
      </c>
      <c r="G157" s="179">
        <v>10</v>
      </c>
      <c r="H157" s="179">
        <v>15</v>
      </c>
      <c r="I157" s="179">
        <v>3</v>
      </c>
      <c r="J157" s="180">
        <f t="shared" si="11"/>
        <v>2419</v>
      </c>
      <c r="K157" s="190" t="str">
        <f t="shared" si="13"/>
        <v>S</v>
      </c>
      <c r="L157" s="191"/>
      <c r="M157" s="191"/>
      <c r="N157" s="191"/>
      <c r="O157" s="181">
        <f t="shared" si="12"/>
        <v>300000</v>
      </c>
      <c r="P157" s="249">
        <f>210000+90000</f>
        <v>300000</v>
      </c>
      <c r="Q157" s="307">
        <f t="shared" si="15"/>
        <v>100</v>
      </c>
      <c r="S157" s="318">
        <v>44130</v>
      </c>
      <c r="T157" s="318">
        <v>44378</v>
      </c>
      <c r="V157" s="318"/>
    </row>
    <row r="158" spans="1:22" s="202" customFormat="1" ht="21.75" customHeight="1" x14ac:dyDescent="0.35">
      <c r="A158" s="202">
        <v>10776</v>
      </c>
      <c r="B158" s="203" t="s">
        <v>382</v>
      </c>
      <c r="C158" s="203" t="s">
        <v>383</v>
      </c>
      <c r="D158" s="127">
        <v>3654</v>
      </c>
      <c r="E158" s="204">
        <v>1112</v>
      </c>
      <c r="F158" s="204">
        <v>232</v>
      </c>
      <c r="G158" s="204">
        <v>44</v>
      </c>
      <c r="H158" s="204">
        <v>36</v>
      </c>
      <c r="I158" s="204">
        <v>12</v>
      </c>
      <c r="J158" s="180">
        <f t="shared" si="11"/>
        <v>5090</v>
      </c>
      <c r="K158" s="190" t="str">
        <f t="shared" si="13"/>
        <v>M</v>
      </c>
      <c r="L158" s="191"/>
      <c r="M158" s="191"/>
      <c r="N158" s="191"/>
      <c r="O158" s="181">
        <f t="shared" si="12"/>
        <v>330000</v>
      </c>
      <c r="P158" s="308">
        <f>165000+165000</f>
        <v>330000</v>
      </c>
      <c r="Q158" s="307">
        <f t="shared" si="15"/>
        <v>100</v>
      </c>
      <c r="S158" s="325">
        <v>44148</v>
      </c>
      <c r="T158" s="325">
        <v>44330</v>
      </c>
      <c r="U158" s="325"/>
      <c r="V158" s="325"/>
    </row>
    <row r="159" spans="1:22" s="202" customFormat="1" ht="21.75" customHeight="1" x14ac:dyDescent="0.35">
      <c r="A159" s="202">
        <v>10776</v>
      </c>
      <c r="B159" s="206" t="s">
        <v>627</v>
      </c>
      <c r="C159" s="206" t="s">
        <v>628</v>
      </c>
      <c r="D159" s="171">
        <v>2395</v>
      </c>
      <c r="E159" s="204">
        <v>854</v>
      </c>
      <c r="F159" s="204">
        <v>117</v>
      </c>
      <c r="G159" s="204">
        <v>14</v>
      </c>
      <c r="H159" s="204">
        <v>20</v>
      </c>
      <c r="I159" s="204">
        <v>9</v>
      </c>
      <c r="J159" s="180">
        <f t="shared" si="11"/>
        <v>3409</v>
      </c>
      <c r="K159" s="190" t="str">
        <f t="shared" si="13"/>
        <v>M</v>
      </c>
      <c r="L159" s="191"/>
      <c r="M159" s="191"/>
      <c r="N159" s="191"/>
      <c r="O159" s="181">
        <f t="shared" si="12"/>
        <v>330000</v>
      </c>
      <c r="P159" s="308">
        <f>165000+165000</f>
        <v>330000</v>
      </c>
      <c r="Q159" s="307">
        <f t="shared" si="15"/>
        <v>100</v>
      </c>
      <c r="S159" s="325">
        <v>44148</v>
      </c>
      <c r="T159" s="325">
        <v>44330</v>
      </c>
      <c r="U159" s="325"/>
      <c r="V159" s="325"/>
    </row>
    <row r="160" spans="1:22" s="202" customFormat="1" ht="21.75" customHeight="1" x14ac:dyDescent="0.35">
      <c r="A160" s="202">
        <v>10776</v>
      </c>
      <c r="B160" s="203" t="s">
        <v>384</v>
      </c>
      <c r="C160" s="203" t="s">
        <v>385</v>
      </c>
      <c r="D160" s="127">
        <v>3077</v>
      </c>
      <c r="E160" s="204">
        <v>938</v>
      </c>
      <c r="F160" s="204">
        <v>227</v>
      </c>
      <c r="G160" s="204">
        <v>10</v>
      </c>
      <c r="H160" s="204">
        <v>38</v>
      </c>
      <c r="I160" s="204">
        <v>6</v>
      </c>
      <c r="J160" s="180">
        <f t="shared" si="11"/>
        <v>4296</v>
      </c>
      <c r="K160" s="190" t="str">
        <f t="shared" si="13"/>
        <v>M</v>
      </c>
      <c r="L160" s="191"/>
      <c r="M160" s="191"/>
      <c r="N160" s="191"/>
      <c r="O160" s="181">
        <f t="shared" si="12"/>
        <v>330000</v>
      </c>
      <c r="P160" s="308">
        <f>165000+165000</f>
        <v>330000</v>
      </c>
      <c r="Q160" s="307">
        <f t="shared" si="15"/>
        <v>100</v>
      </c>
      <c r="S160" s="325">
        <v>44148</v>
      </c>
      <c r="T160" s="325">
        <v>44330</v>
      </c>
      <c r="U160" s="325"/>
      <c r="V160" s="325"/>
    </row>
    <row r="161" spans="1:22" s="202" customFormat="1" ht="21.75" customHeight="1" x14ac:dyDescent="0.35">
      <c r="A161" s="202">
        <v>10776</v>
      </c>
      <c r="B161" s="206" t="s">
        <v>629</v>
      </c>
      <c r="C161" s="206" t="s">
        <v>630</v>
      </c>
      <c r="D161" s="125">
        <v>2366</v>
      </c>
      <c r="E161" s="204">
        <v>801</v>
      </c>
      <c r="F161" s="204">
        <v>131</v>
      </c>
      <c r="G161" s="204">
        <v>19</v>
      </c>
      <c r="H161" s="204">
        <v>16</v>
      </c>
      <c r="I161" s="204">
        <v>3</v>
      </c>
      <c r="J161" s="180">
        <f t="shared" si="11"/>
        <v>3336</v>
      </c>
      <c r="K161" s="190" t="str">
        <f t="shared" si="13"/>
        <v>M</v>
      </c>
      <c r="L161" s="191"/>
      <c r="M161" s="191"/>
      <c r="N161" s="191"/>
      <c r="O161" s="181">
        <f t="shared" si="12"/>
        <v>330000</v>
      </c>
      <c r="P161" s="308">
        <f>165000+165000</f>
        <v>330000</v>
      </c>
      <c r="Q161" s="307">
        <f t="shared" si="15"/>
        <v>100</v>
      </c>
      <c r="S161" s="325">
        <v>44148</v>
      </c>
      <c r="T161" s="325">
        <v>44330</v>
      </c>
      <c r="U161" s="325"/>
      <c r="V161" s="325"/>
    </row>
    <row r="162" spans="1:22" s="202" customFormat="1" ht="21.75" customHeight="1" x14ac:dyDescent="0.35">
      <c r="A162" s="202">
        <v>10776</v>
      </c>
      <c r="B162" s="206" t="s">
        <v>386</v>
      </c>
      <c r="C162" s="206" t="s">
        <v>387</v>
      </c>
      <c r="D162" s="207">
        <v>1658</v>
      </c>
      <c r="E162" s="204">
        <v>759</v>
      </c>
      <c r="F162" s="204">
        <v>146</v>
      </c>
      <c r="G162" s="204">
        <v>32</v>
      </c>
      <c r="H162" s="204">
        <v>29</v>
      </c>
      <c r="I162" s="204">
        <v>5</v>
      </c>
      <c r="J162" s="180">
        <f t="shared" si="11"/>
        <v>2629</v>
      </c>
      <c r="K162" s="190" t="str">
        <f t="shared" si="13"/>
        <v>S</v>
      </c>
      <c r="L162" s="191"/>
      <c r="M162" s="191"/>
      <c r="N162" s="191"/>
      <c r="O162" s="181">
        <f t="shared" si="12"/>
        <v>300000</v>
      </c>
      <c r="P162" s="308">
        <f>150000+150000</f>
        <v>300000</v>
      </c>
      <c r="Q162" s="307">
        <f t="shared" si="15"/>
        <v>100</v>
      </c>
      <c r="S162" s="325">
        <v>44148</v>
      </c>
      <c r="T162" s="325">
        <v>44330</v>
      </c>
      <c r="U162" s="325"/>
      <c r="V162" s="325"/>
    </row>
    <row r="163" spans="1:22" s="202" customFormat="1" ht="21.75" customHeight="1" x14ac:dyDescent="0.35">
      <c r="A163" s="202">
        <v>10776</v>
      </c>
      <c r="B163" s="203" t="s">
        <v>388</v>
      </c>
      <c r="C163" s="203" t="s">
        <v>389</v>
      </c>
      <c r="D163" s="127">
        <v>3047</v>
      </c>
      <c r="E163" s="204">
        <v>804</v>
      </c>
      <c r="F163" s="204">
        <v>147</v>
      </c>
      <c r="G163" s="204">
        <v>60</v>
      </c>
      <c r="H163" s="204">
        <v>23</v>
      </c>
      <c r="I163" s="204">
        <v>6</v>
      </c>
      <c r="J163" s="180">
        <f t="shared" si="11"/>
        <v>4087</v>
      </c>
      <c r="K163" s="190" t="str">
        <f t="shared" si="13"/>
        <v>M</v>
      </c>
      <c r="L163" s="191"/>
      <c r="M163" s="191"/>
      <c r="N163" s="191"/>
      <c r="O163" s="181">
        <f t="shared" si="12"/>
        <v>330000</v>
      </c>
      <c r="P163" s="308">
        <f>165000+165000</f>
        <v>330000</v>
      </c>
      <c r="Q163" s="307">
        <f t="shared" si="15"/>
        <v>100</v>
      </c>
      <c r="S163" s="325">
        <v>44148</v>
      </c>
      <c r="T163" s="325">
        <v>44330</v>
      </c>
      <c r="U163" s="325"/>
      <c r="V163" s="325"/>
    </row>
    <row r="164" spans="1:22" s="202" customFormat="1" ht="21.75" customHeight="1" x14ac:dyDescent="0.35">
      <c r="A164" s="202">
        <v>10776</v>
      </c>
      <c r="B164" s="206" t="s">
        <v>631</v>
      </c>
      <c r="C164" s="206" t="s">
        <v>632</v>
      </c>
      <c r="D164" s="125">
        <v>2400</v>
      </c>
      <c r="E164" s="204">
        <v>759</v>
      </c>
      <c r="F164" s="204">
        <v>198</v>
      </c>
      <c r="G164" s="204">
        <v>10</v>
      </c>
      <c r="H164" s="204">
        <v>13</v>
      </c>
      <c r="I164" s="204">
        <v>2</v>
      </c>
      <c r="J164" s="180">
        <f t="shared" si="11"/>
        <v>3382</v>
      </c>
      <c r="K164" s="190" t="str">
        <f t="shared" si="13"/>
        <v>M</v>
      </c>
      <c r="L164" s="191"/>
      <c r="M164" s="191"/>
      <c r="N164" s="191"/>
      <c r="O164" s="181">
        <f t="shared" si="12"/>
        <v>330000</v>
      </c>
      <c r="P164" s="308">
        <f>165000+165000</f>
        <v>330000</v>
      </c>
      <c r="Q164" s="307">
        <f t="shared" si="15"/>
        <v>100</v>
      </c>
      <c r="S164" s="325">
        <v>44148</v>
      </c>
      <c r="T164" s="325">
        <v>44330</v>
      </c>
      <c r="U164" s="325"/>
      <c r="V164" s="325"/>
    </row>
    <row r="165" spans="1:22" s="202" customFormat="1" ht="21.75" customHeight="1" x14ac:dyDescent="0.35">
      <c r="A165" s="202">
        <v>10776</v>
      </c>
      <c r="B165" s="206" t="s">
        <v>428</v>
      </c>
      <c r="C165" s="206" t="s">
        <v>429</v>
      </c>
      <c r="D165" s="125">
        <v>4846</v>
      </c>
      <c r="E165" s="204">
        <v>1577</v>
      </c>
      <c r="F165" s="204">
        <v>472</v>
      </c>
      <c r="G165" s="204">
        <v>52</v>
      </c>
      <c r="H165" s="204">
        <v>66</v>
      </c>
      <c r="I165" s="204">
        <v>17</v>
      </c>
      <c r="J165" s="180">
        <f>SUM(D165:I165)</f>
        <v>7030</v>
      </c>
      <c r="K165" s="190" t="str">
        <f t="shared" si="13"/>
        <v>M</v>
      </c>
      <c r="L165" s="191"/>
      <c r="M165" s="191"/>
      <c r="N165" s="191"/>
      <c r="O165" s="181">
        <f t="shared" si="12"/>
        <v>330000</v>
      </c>
      <c r="P165" s="308">
        <f>165000+165000</f>
        <v>330000</v>
      </c>
      <c r="Q165" s="307">
        <f t="shared" si="15"/>
        <v>100</v>
      </c>
      <c r="S165" s="325">
        <v>44148</v>
      </c>
      <c r="T165" s="325">
        <v>44330</v>
      </c>
      <c r="U165" s="325"/>
      <c r="V165" s="325"/>
    </row>
    <row r="166" spans="1:22" ht="21.75" customHeight="1" x14ac:dyDescent="0.35">
      <c r="A166" s="184">
        <v>10777</v>
      </c>
      <c r="B166" s="208" t="s">
        <v>637</v>
      </c>
      <c r="C166" s="208" t="s">
        <v>638</v>
      </c>
      <c r="D166" s="113">
        <v>3035</v>
      </c>
      <c r="E166" s="179">
        <v>1395</v>
      </c>
      <c r="F166" s="179">
        <v>391</v>
      </c>
      <c r="G166" s="179">
        <v>35</v>
      </c>
      <c r="H166" s="179">
        <v>60</v>
      </c>
      <c r="I166" s="179">
        <v>11</v>
      </c>
      <c r="J166" s="180">
        <f t="shared" si="11"/>
        <v>4927</v>
      </c>
      <c r="K166" s="190" t="str">
        <f t="shared" si="13"/>
        <v>M</v>
      </c>
      <c r="L166" s="191"/>
      <c r="M166" s="191"/>
      <c r="N166" s="191"/>
      <c r="O166" s="181">
        <f t="shared" si="12"/>
        <v>330000</v>
      </c>
      <c r="P166" s="249">
        <f>200000+200000+246900</f>
        <v>646900</v>
      </c>
      <c r="Q166" s="307">
        <f t="shared" si="15"/>
        <v>196.03030303030303</v>
      </c>
      <c r="S166" s="318">
        <v>44152</v>
      </c>
      <c r="T166" s="318">
        <v>44246</v>
      </c>
      <c r="U166" s="320">
        <v>44474</v>
      </c>
      <c r="V166" s="318"/>
    </row>
    <row r="167" spans="1:22" ht="21.75" customHeight="1" x14ac:dyDescent="0.35">
      <c r="A167" s="184">
        <v>10777</v>
      </c>
      <c r="B167" s="208" t="s">
        <v>639</v>
      </c>
      <c r="C167" s="208" t="s">
        <v>640</v>
      </c>
      <c r="D167" s="103">
        <v>7462</v>
      </c>
      <c r="E167" s="179">
        <v>4277</v>
      </c>
      <c r="F167" s="179">
        <v>833</v>
      </c>
      <c r="G167" s="179">
        <v>86</v>
      </c>
      <c r="H167" s="179">
        <v>148</v>
      </c>
      <c r="I167" s="179">
        <v>26</v>
      </c>
      <c r="J167" s="180">
        <f t="shared" si="11"/>
        <v>12832</v>
      </c>
      <c r="K167" s="190" t="str">
        <f t="shared" si="13"/>
        <v>L</v>
      </c>
      <c r="L167" s="191"/>
      <c r="M167" s="191"/>
      <c r="N167" s="191"/>
      <c r="O167" s="181">
        <f t="shared" si="12"/>
        <v>360000</v>
      </c>
      <c r="P167" s="249">
        <f>250000+250000+270640</f>
        <v>770640</v>
      </c>
      <c r="Q167" s="307">
        <f t="shared" si="15"/>
        <v>214.06666666666666</v>
      </c>
      <c r="S167" s="318">
        <v>44152</v>
      </c>
      <c r="T167" s="318">
        <v>44246</v>
      </c>
      <c r="U167" s="320">
        <v>44474</v>
      </c>
      <c r="V167" s="318"/>
    </row>
    <row r="168" spans="1:22" ht="21.75" customHeight="1" x14ac:dyDescent="0.35">
      <c r="A168" s="184">
        <v>10777</v>
      </c>
      <c r="B168" s="209" t="s">
        <v>545</v>
      </c>
      <c r="C168" s="209" t="s">
        <v>546</v>
      </c>
      <c r="D168" s="113">
        <v>5016</v>
      </c>
      <c r="E168" s="179">
        <v>1846</v>
      </c>
      <c r="F168" s="179">
        <v>274</v>
      </c>
      <c r="G168" s="179">
        <v>15</v>
      </c>
      <c r="H168" s="179">
        <v>45</v>
      </c>
      <c r="I168" s="179">
        <v>13</v>
      </c>
      <c r="J168" s="180">
        <f t="shared" si="11"/>
        <v>7209</v>
      </c>
      <c r="K168" s="190" t="str">
        <f t="shared" si="13"/>
        <v>M</v>
      </c>
      <c r="L168" s="191"/>
      <c r="M168" s="191"/>
      <c r="N168" s="191"/>
      <c r="O168" s="181">
        <f t="shared" si="12"/>
        <v>330000</v>
      </c>
      <c r="P168" s="249">
        <f>250000+250000+153300</f>
        <v>653300</v>
      </c>
      <c r="Q168" s="307">
        <f t="shared" si="15"/>
        <v>197.96969696969697</v>
      </c>
      <c r="S168" s="318">
        <v>44152</v>
      </c>
      <c r="T168" s="318">
        <v>44246</v>
      </c>
      <c r="U168" s="320">
        <v>44474</v>
      </c>
      <c r="V168" s="318"/>
    </row>
    <row r="169" spans="1:22" ht="21.75" customHeight="1" x14ac:dyDescent="0.35">
      <c r="A169" s="184">
        <v>10777</v>
      </c>
      <c r="B169" s="208" t="s">
        <v>641</v>
      </c>
      <c r="C169" s="208" t="s">
        <v>642</v>
      </c>
      <c r="D169" s="103">
        <v>477</v>
      </c>
      <c r="E169" s="179">
        <v>468</v>
      </c>
      <c r="F169" s="179">
        <v>41</v>
      </c>
      <c r="G169" s="179">
        <v>2</v>
      </c>
      <c r="H169" s="179">
        <v>10</v>
      </c>
      <c r="I169" s="179">
        <v>3</v>
      </c>
      <c r="J169" s="180">
        <f t="shared" si="11"/>
        <v>1001</v>
      </c>
      <c r="K169" s="190" t="str">
        <f t="shared" si="13"/>
        <v>S</v>
      </c>
      <c r="L169" s="191"/>
      <c r="M169" s="191"/>
      <c r="N169" s="191"/>
      <c r="O169" s="181">
        <f t="shared" si="12"/>
        <v>300000</v>
      </c>
      <c r="P169" s="249">
        <f>200000+200000+22400</f>
        <v>422400</v>
      </c>
      <c r="Q169" s="307">
        <f t="shared" si="15"/>
        <v>140.80000000000001</v>
      </c>
      <c r="S169" s="318">
        <v>44152</v>
      </c>
      <c r="T169" s="318">
        <v>44246</v>
      </c>
      <c r="U169" s="320">
        <v>44474</v>
      </c>
      <c r="V169" s="318"/>
    </row>
    <row r="170" spans="1:22" ht="21.75" customHeight="1" x14ac:dyDescent="0.35">
      <c r="A170" s="184">
        <v>10777</v>
      </c>
      <c r="B170" s="208" t="s">
        <v>643</v>
      </c>
      <c r="C170" s="208" t="s">
        <v>644</v>
      </c>
      <c r="D170" s="103">
        <v>2267</v>
      </c>
      <c r="E170" s="179">
        <v>969</v>
      </c>
      <c r="F170" s="179">
        <v>97</v>
      </c>
      <c r="G170" s="179">
        <v>22</v>
      </c>
      <c r="H170" s="179">
        <v>11</v>
      </c>
      <c r="I170" s="179">
        <v>8</v>
      </c>
      <c r="J170" s="180">
        <f t="shared" si="11"/>
        <v>3374</v>
      </c>
      <c r="K170" s="190" t="str">
        <f t="shared" si="13"/>
        <v>M</v>
      </c>
      <c r="L170" s="191"/>
      <c r="M170" s="191"/>
      <c r="N170" s="191"/>
      <c r="O170" s="181">
        <f t="shared" si="12"/>
        <v>330000</v>
      </c>
      <c r="P170" s="249">
        <f>180000+250000+137700</f>
        <v>567700</v>
      </c>
      <c r="Q170" s="307">
        <f t="shared" si="15"/>
        <v>172.03030303030303</v>
      </c>
      <c r="S170" s="318">
        <v>44152</v>
      </c>
      <c r="T170" s="318">
        <v>44246</v>
      </c>
      <c r="U170" s="320">
        <v>44474</v>
      </c>
      <c r="V170" s="318"/>
    </row>
    <row r="171" spans="1:22" ht="21.75" customHeight="1" x14ac:dyDescent="0.35">
      <c r="A171" s="184">
        <v>10777</v>
      </c>
      <c r="B171" s="209" t="s">
        <v>547</v>
      </c>
      <c r="C171" s="209" t="s">
        <v>548</v>
      </c>
      <c r="D171" s="113">
        <v>4925</v>
      </c>
      <c r="E171" s="179">
        <v>3679</v>
      </c>
      <c r="F171" s="179">
        <v>594</v>
      </c>
      <c r="G171" s="179">
        <v>52</v>
      </c>
      <c r="H171" s="179">
        <v>149</v>
      </c>
      <c r="I171" s="179">
        <v>21</v>
      </c>
      <c r="J171" s="180">
        <f t="shared" si="11"/>
        <v>9420</v>
      </c>
      <c r="K171" s="190" t="str">
        <f t="shared" si="13"/>
        <v>L</v>
      </c>
      <c r="L171" s="191"/>
      <c r="M171" s="191"/>
      <c r="N171" s="191"/>
      <c r="O171" s="181">
        <f t="shared" si="12"/>
        <v>360000</v>
      </c>
      <c r="P171" s="249">
        <f>150000+150000+273400</f>
        <v>573400</v>
      </c>
      <c r="Q171" s="307">
        <f t="shared" si="15"/>
        <v>159.27777777777777</v>
      </c>
      <c r="S171" s="318">
        <v>44152</v>
      </c>
      <c r="T171" s="318">
        <v>44246</v>
      </c>
      <c r="U171" s="320">
        <v>44474</v>
      </c>
      <c r="V171" s="318"/>
    </row>
    <row r="172" spans="1:22" ht="21.75" customHeight="1" x14ac:dyDescent="0.35">
      <c r="A172" s="184">
        <v>10777</v>
      </c>
      <c r="B172" s="208" t="s">
        <v>645</v>
      </c>
      <c r="C172" s="208" t="s">
        <v>646</v>
      </c>
      <c r="D172" s="103">
        <v>2361</v>
      </c>
      <c r="E172" s="179">
        <v>958</v>
      </c>
      <c r="F172" s="179">
        <v>94</v>
      </c>
      <c r="G172" s="179">
        <v>26</v>
      </c>
      <c r="H172" s="179">
        <v>21</v>
      </c>
      <c r="I172" s="179">
        <v>5</v>
      </c>
      <c r="J172" s="180">
        <f t="shared" si="11"/>
        <v>3465</v>
      </c>
      <c r="K172" s="190" t="str">
        <f t="shared" si="13"/>
        <v>M</v>
      </c>
      <c r="L172" s="191"/>
      <c r="M172" s="191"/>
      <c r="N172" s="191"/>
      <c r="O172" s="181">
        <f t="shared" si="12"/>
        <v>330000</v>
      </c>
      <c r="P172" s="249">
        <f>130000+150000+100800</f>
        <v>380800</v>
      </c>
      <c r="Q172" s="307">
        <f t="shared" si="15"/>
        <v>115.39393939393939</v>
      </c>
      <c r="S172" s="318">
        <v>44152</v>
      </c>
      <c r="T172" s="318">
        <v>44246</v>
      </c>
      <c r="U172" s="320">
        <v>44474</v>
      </c>
      <c r="V172" s="318"/>
    </row>
    <row r="173" spans="1:22" ht="21.75" customHeight="1" x14ac:dyDescent="0.35">
      <c r="A173" s="184">
        <v>10777</v>
      </c>
      <c r="B173" s="209" t="s">
        <v>647</v>
      </c>
      <c r="C173" s="209" t="s">
        <v>648</v>
      </c>
      <c r="D173" s="113">
        <v>2186</v>
      </c>
      <c r="E173" s="179">
        <v>1102</v>
      </c>
      <c r="F173" s="179">
        <v>175</v>
      </c>
      <c r="G173" s="179">
        <v>35</v>
      </c>
      <c r="H173" s="179">
        <v>32</v>
      </c>
      <c r="I173" s="179">
        <v>8</v>
      </c>
      <c r="J173" s="180">
        <f t="shared" si="11"/>
        <v>3538</v>
      </c>
      <c r="K173" s="190" t="str">
        <f t="shared" si="13"/>
        <v>M</v>
      </c>
      <c r="L173" s="191"/>
      <c r="M173" s="191"/>
      <c r="N173" s="191"/>
      <c r="O173" s="181">
        <f t="shared" si="12"/>
        <v>330000</v>
      </c>
      <c r="P173" s="249">
        <f>90000+100000+194800</f>
        <v>384800</v>
      </c>
      <c r="Q173" s="307">
        <f t="shared" si="15"/>
        <v>116.60606060606061</v>
      </c>
      <c r="S173" s="318">
        <v>44152</v>
      </c>
      <c r="T173" s="318">
        <v>44246</v>
      </c>
      <c r="U173" s="320">
        <v>44474</v>
      </c>
      <c r="V173" s="318"/>
    </row>
    <row r="174" spans="1:22" ht="21.75" customHeight="1" x14ac:dyDescent="0.35">
      <c r="A174" s="184">
        <v>10777</v>
      </c>
      <c r="B174" s="208" t="s">
        <v>649</v>
      </c>
      <c r="C174" s="208" t="s">
        <v>650</v>
      </c>
      <c r="D174" s="103">
        <v>1426</v>
      </c>
      <c r="E174" s="179">
        <v>721</v>
      </c>
      <c r="F174" s="179">
        <v>67</v>
      </c>
      <c r="G174" s="179">
        <v>12</v>
      </c>
      <c r="H174" s="179">
        <v>20</v>
      </c>
      <c r="I174" s="179">
        <v>0</v>
      </c>
      <c r="J174" s="180">
        <f t="shared" si="11"/>
        <v>2246</v>
      </c>
      <c r="K174" s="190" t="str">
        <f t="shared" si="13"/>
        <v>S</v>
      </c>
      <c r="L174" s="191"/>
      <c r="M174" s="191"/>
      <c r="N174" s="191"/>
      <c r="O174" s="181">
        <f t="shared" si="12"/>
        <v>300000</v>
      </c>
      <c r="P174" s="249">
        <f>200000+200000+58000</f>
        <v>458000</v>
      </c>
      <c r="Q174" s="307">
        <f t="shared" si="15"/>
        <v>152.66666666666666</v>
      </c>
      <c r="S174" s="318">
        <v>44152</v>
      </c>
      <c r="T174" s="318">
        <v>44246</v>
      </c>
      <c r="U174" s="320">
        <v>44474</v>
      </c>
      <c r="V174" s="318"/>
    </row>
    <row r="175" spans="1:22" ht="21.75" customHeight="1" x14ac:dyDescent="0.35">
      <c r="A175" s="184">
        <v>10777</v>
      </c>
      <c r="B175" s="209" t="s">
        <v>651</v>
      </c>
      <c r="C175" s="209" t="s">
        <v>652</v>
      </c>
      <c r="D175" s="113">
        <v>4097</v>
      </c>
      <c r="E175" s="179">
        <v>1558</v>
      </c>
      <c r="F175" s="179">
        <v>175</v>
      </c>
      <c r="G175" s="179">
        <v>20</v>
      </c>
      <c r="H175" s="179">
        <v>35</v>
      </c>
      <c r="I175" s="179">
        <v>2</v>
      </c>
      <c r="J175" s="180">
        <f t="shared" si="11"/>
        <v>5887</v>
      </c>
      <c r="K175" s="190" t="str">
        <f t="shared" si="13"/>
        <v>M</v>
      </c>
      <c r="L175" s="191"/>
      <c r="M175" s="191"/>
      <c r="N175" s="191"/>
      <c r="O175" s="181">
        <f t="shared" si="12"/>
        <v>330000</v>
      </c>
      <c r="P175" s="249">
        <f>150000+150000+92060</f>
        <v>392060</v>
      </c>
      <c r="Q175" s="307">
        <f t="shared" si="15"/>
        <v>118.80606060606061</v>
      </c>
      <c r="S175" s="318">
        <v>44152</v>
      </c>
      <c r="T175" s="318">
        <v>44246</v>
      </c>
      <c r="U175" s="320">
        <v>44474</v>
      </c>
      <c r="V175" s="318"/>
    </row>
    <row r="176" spans="1:22" ht="21.75" customHeight="1" x14ac:dyDescent="0.35">
      <c r="A176" s="184">
        <v>10778</v>
      </c>
      <c r="B176" s="196" t="s">
        <v>659</v>
      </c>
      <c r="C176" s="196" t="s">
        <v>660</v>
      </c>
      <c r="D176" s="98">
        <v>1271</v>
      </c>
      <c r="E176" s="179">
        <v>476</v>
      </c>
      <c r="F176" s="179">
        <v>99</v>
      </c>
      <c r="G176" s="179">
        <v>14</v>
      </c>
      <c r="H176" s="179">
        <v>15</v>
      </c>
      <c r="I176" s="179">
        <v>3</v>
      </c>
      <c r="J176" s="180">
        <f t="shared" si="11"/>
        <v>1878</v>
      </c>
      <c r="K176" s="190" t="str">
        <f t="shared" si="13"/>
        <v>S</v>
      </c>
      <c r="L176" s="191"/>
      <c r="M176" s="191"/>
      <c r="N176" s="191"/>
      <c r="O176" s="181">
        <f t="shared" si="12"/>
        <v>300000</v>
      </c>
      <c r="P176" s="175">
        <v>90665.63</v>
      </c>
      <c r="Q176" s="307">
        <f t="shared" si="15"/>
        <v>30.221876666666667</v>
      </c>
      <c r="S176" s="318">
        <v>44238</v>
      </c>
      <c r="V176" s="318"/>
    </row>
    <row r="177" spans="1:22" ht="21.75" customHeight="1" x14ac:dyDescent="0.35">
      <c r="A177" s="184">
        <v>10778</v>
      </c>
      <c r="B177" s="198" t="s">
        <v>422</v>
      </c>
      <c r="C177" s="198" t="s">
        <v>423</v>
      </c>
      <c r="D177" s="96">
        <v>1465</v>
      </c>
      <c r="E177" s="179">
        <v>672</v>
      </c>
      <c r="F177" s="179">
        <v>188</v>
      </c>
      <c r="G177" s="179">
        <v>35</v>
      </c>
      <c r="H177" s="179">
        <v>34</v>
      </c>
      <c r="I177" s="179">
        <v>1</v>
      </c>
      <c r="J177" s="180">
        <f t="shared" si="11"/>
        <v>2395</v>
      </c>
      <c r="K177" s="190" t="str">
        <f t="shared" si="13"/>
        <v>S</v>
      </c>
      <c r="L177" s="191"/>
      <c r="M177" s="191"/>
      <c r="N177" s="191"/>
      <c r="O177" s="181">
        <f t="shared" si="12"/>
        <v>300000</v>
      </c>
      <c r="P177" s="175">
        <v>40978.82</v>
      </c>
      <c r="Q177" s="307">
        <f t="shared" si="15"/>
        <v>13.659606666666667</v>
      </c>
      <c r="S177" s="318">
        <v>44238</v>
      </c>
      <c r="V177" s="318"/>
    </row>
    <row r="178" spans="1:22" ht="21.75" customHeight="1" x14ac:dyDescent="0.35">
      <c r="A178" s="184">
        <v>10778</v>
      </c>
      <c r="B178" s="196" t="s">
        <v>424</v>
      </c>
      <c r="C178" s="196" t="s">
        <v>425</v>
      </c>
      <c r="D178" s="98">
        <v>1150</v>
      </c>
      <c r="E178" s="179">
        <v>494</v>
      </c>
      <c r="F178" s="179">
        <v>68</v>
      </c>
      <c r="G178" s="179">
        <v>4</v>
      </c>
      <c r="H178" s="179">
        <v>15</v>
      </c>
      <c r="I178" s="179">
        <v>1</v>
      </c>
      <c r="J178" s="180">
        <f t="shared" si="11"/>
        <v>1732</v>
      </c>
      <c r="K178" s="190" t="str">
        <f t="shared" si="13"/>
        <v>S</v>
      </c>
      <c r="L178" s="191"/>
      <c r="M178" s="191"/>
      <c r="N178" s="191"/>
      <c r="O178" s="181">
        <f t="shared" si="12"/>
        <v>300000</v>
      </c>
      <c r="P178" s="175">
        <v>77320.160000000003</v>
      </c>
      <c r="Q178" s="307">
        <f t="shared" si="15"/>
        <v>25.773386666666667</v>
      </c>
      <c r="S178" s="318">
        <v>44238</v>
      </c>
      <c r="V178" s="318"/>
    </row>
    <row r="179" spans="1:22" ht="21.75" customHeight="1" x14ac:dyDescent="0.35">
      <c r="A179" s="184">
        <v>10778</v>
      </c>
      <c r="B179" s="196" t="s">
        <v>426</v>
      </c>
      <c r="C179" s="196" t="s">
        <v>427</v>
      </c>
      <c r="D179" s="96">
        <v>1866</v>
      </c>
      <c r="E179" s="179">
        <v>768</v>
      </c>
      <c r="F179" s="179">
        <v>142</v>
      </c>
      <c r="G179" s="179">
        <v>29</v>
      </c>
      <c r="H179" s="179">
        <v>26</v>
      </c>
      <c r="I179" s="179">
        <v>4</v>
      </c>
      <c r="J179" s="180">
        <f t="shared" si="11"/>
        <v>2835</v>
      </c>
      <c r="K179" s="190" t="str">
        <f t="shared" si="13"/>
        <v>S</v>
      </c>
      <c r="L179" s="191"/>
      <c r="M179" s="191"/>
      <c r="N179" s="191"/>
      <c r="O179" s="181">
        <f t="shared" si="12"/>
        <v>300000</v>
      </c>
      <c r="P179" s="175">
        <v>90309.4</v>
      </c>
      <c r="Q179" s="307">
        <f t="shared" si="15"/>
        <v>30.103133333333332</v>
      </c>
      <c r="S179" s="318">
        <v>44238</v>
      </c>
      <c r="V179" s="318"/>
    </row>
    <row r="180" spans="1:22" ht="21.75" customHeight="1" x14ac:dyDescent="0.35">
      <c r="A180" s="184">
        <v>10778</v>
      </c>
      <c r="B180" s="198" t="s">
        <v>633</v>
      </c>
      <c r="C180" s="198" t="s">
        <v>634</v>
      </c>
      <c r="D180" s="98">
        <v>2402</v>
      </c>
      <c r="E180" s="179">
        <v>871</v>
      </c>
      <c r="F180" s="179">
        <v>150</v>
      </c>
      <c r="G180" s="179">
        <v>13</v>
      </c>
      <c r="H180" s="179">
        <v>25</v>
      </c>
      <c r="I180" s="179">
        <v>11</v>
      </c>
      <c r="J180" s="180">
        <f t="shared" si="11"/>
        <v>3472</v>
      </c>
      <c r="K180" s="190" t="str">
        <f t="shared" si="13"/>
        <v>M</v>
      </c>
      <c r="L180" s="191"/>
      <c r="M180" s="191"/>
      <c r="N180" s="191"/>
      <c r="O180" s="181">
        <f t="shared" si="12"/>
        <v>330000</v>
      </c>
      <c r="P180" s="175">
        <v>91353.09</v>
      </c>
      <c r="Q180" s="307">
        <f t="shared" si="15"/>
        <v>27.682754545454547</v>
      </c>
      <c r="S180" s="318">
        <v>44238</v>
      </c>
      <c r="V180" s="318"/>
    </row>
    <row r="181" spans="1:22" ht="21.75" customHeight="1" x14ac:dyDescent="0.35">
      <c r="A181" s="184">
        <v>10778</v>
      </c>
      <c r="B181" s="196" t="s">
        <v>661</v>
      </c>
      <c r="C181" s="196" t="s">
        <v>662</v>
      </c>
      <c r="D181" s="96">
        <v>1068</v>
      </c>
      <c r="E181" s="179">
        <v>306</v>
      </c>
      <c r="F181" s="179">
        <v>71</v>
      </c>
      <c r="G181" s="179">
        <v>7</v>
      </c>
      <c r="H181" s="179">
        <v>9</v>
      </c>
      <c r="I181" s="179">
        <v>3</v>
      </c>
      <c r="J181" s="180">
        <f t="shared" si="11"/>
        <v>1464</v>
      </c>
      <c r="K181" s="190" t="str">
        <f t="shared" si="13"/>
        <v>S</v>
      </c>
      <c r="L181" s="191"/>
      <c r="M181" s="191"/>
      <c r="N181" s="191"/>
      <c r="O181" s="181">
        <f t="shared" si="12"/>
        <v>300000</v>
      </c>
      <c r="P181" s="175">
        <v>98884.25</v>
      </c>
      <c r="Q181" s="307">
        <f t="shared" si="15"/>
        <v>32.961416666666665</v>
      </c>
      <c r="S181" s="318">
        <v>44238</v>
      </c>
      <c r="V181" s="318"/>
    </row>
    <row r="182" spans="1:22" ht="21.75" customHeight="1" x14ac:dyDescent="0.35">
      <c r="A182" s="184">
        <v>10779</v>
      </c>
      <c r="B182" s="196" t="s">
        <v>665</v>
      </c>
      <c r="C182" s="196" t="s">
        <v>666</v>
      </c>
      <c r="D182" s="131">
        <v>4695</v>
      </c>
      <c r="E182" s="179">
        <v>1671</v>
      </c>
      <c r="F182" s="179">
        <v>501</v>
      </c>
      <c r="G182" s="179">
        <v>60</v>
      </c>
      <c r="H182" s="179">
        <v>70</v>
      </c>
      <c r="I182" s="179">
        <v>10</v>
      </c>
      <c r="J182" s="180">
        <f t="shared" si="11"/>
        <v>7007</v>
      </c>
      <c r="K182" s="190" t="str">
        <f t="shared" si="13"/>
        <v>M</v>
      </c>
      <c r="L182" s="191"/>
      <c r="M182" s="191"/>
      <c r="N182" s="191"/>
      <c r="O182" s="181">
        <f t="shared" si="12"/>
        <v>330000</v>
      </c>
      <c r="P182" s="175">
        <f>82500+165000+82500</f>
        <v>330000</v>
      </c>
      <c r="Q182" s="307">
        <f t="shared" si="15"/>
        <v>100</v>
      </c>
      <c r="S182" s="318">
        <v>44228</v>
      </c>
      <c r="T182" s="318">
        <v>44343</v>
      </c>
      <c r="U182" s="318">
        <v>44460</v>
      </c>
      <c r="V182" s="318"/>
    </row>
    <row r="183" spans="1:22" ht="21.75" customHeight="1" x14ac:dyDescent="0.35">
      <c r="A183" s="184">
        <v>10779</v>
      </c>
      <c r="B183" s="198" t="s">
        <v>667</v>
      </c>
      <c r="C183" s="198" t="s">
        <v>668</v>
      </c>
      <c r="D183" s="132">
        <v>3742</v>
      </c>
      <c r="E183" s="179">
        <v>1779</v>
      </c>
      <c r="F183" s="179">
        <v>487</v>
      </c>
      <c r="G183" s="179">
        <v>63</v>
      </c>
      <c r="H183" s="179">
        <v>96</v>
      </c>
      <c r="I183" s="179">
        <v>4</v>
      </c>
      <c r="J183" s="180">
        <f t="shared" si="11"/>
        <v>6171</v>
      </c>
      <c r="K183" s="190" t="str">
        <f t="shared" si="13"/>
        <v>M</v>
      </c>
      <c r="L183" s="191"/>
      <c r="M183" s="191"/>
      <c r="N183" s="191"/>
      <c r="O183" s="181">
        <f t="shared" si="12"/>
        <v>330000</v>
      </c>
      <c r="P183" s="175">
        <f>82500+165000+82500</f>
        <v>330000</v>
      </c>
      <c r="Q183" s="307">
        <f t="shared" si="15"/>
        <v>100</v>
      </c>
      <c r="S183" s="318">
        <v>44228</v>
      </c>
      <c r="T183" s="318">
        <v>44343</v>
      </c>
      <c r="U183" s="318">
        <v>44460</v>
      </c>
      <c r="V183" s="318"/>
    </row>
    <row r="184" spans="1:22" ht="21.75" customHeight="1" x14ac:dyDescent="0.35">
      <c r="A184" s="184">
        <v>10779</v>
      </c>
      <c r="B184" s="196" t="s">
        <v>653</v>
      </c>
      <c r="C184" s="196" t="s">
        <v>654</v>
      </c>
      <c r="D184" s="131">
        <v>1912</v>
      </c>
      <c r="E184" s="179">
        <v>668</v>
      </c>
      <c r="F184" s="179">
        <v>86</v>
      </c>
      <c r="G184" s="179">
        <v>12</v>
      </c>
      <c r="H184" s="179">
        <v>17</v>
      </c>
      <c r="I184" s="179">
        <v>4</v>
      </c>
      <c r="J184" s="180">
        <f t="shared" si="11"/>
        <v>2699</v>
      </c>
      <c r="K184" s="190" t="str">
        <f t="shared" si="13"/>
        <v>S</v>
      </c>
      <c r="L184" s="191"/>
      <c r="M184" s="191"/>
      <c r="N184" s="191"/>
      <c r="O184" s="181">
        <f t="shared" si="12"/>
        <v>300000</v>
      </c>
      <c r="P184" s="175">
        <f>75000+150000+75000</f>
        <v>300000</v>
      </c>
      <c r="Q184" s="307">
        <f t="shared" si="15"/>
        <v>100</v>
      </c>
      <c r="S184" s="318">
        <v>44228</v>
      </c>
      <c r="T184" s="318">
        <v>44343</v>
      </c>
      <c r="U184" s="318">
        <v>44460</v>
      </c>
      <c r="V184" s="318"/>
    </row>
    <row r="185" spans="1:22" ht="21.75" customHeight="1" x14ac:dyDescent="0.35">
      <c r="A185" s="184">
        <v>10779</v>
      </c>
      <c r="B185" s="198" t="s">
        <v>669</v>
      </c>
      <c r="C185" s="198" t="s">
        <v>670</v>
      </c>
      <c r="D185" s="132">
        <v>2694</v>
      </c>
      <c r="E185" s="179">
        <v>1201</v>
      </c>
      <c r="F185" s="179">
        <v>186</v>
      </c>
      <c r="G185" s="179">
        <v>38</v>
      </c>
      <c r="H185" s="179">
        <v>43</v>
      </c>
      <c r="I185" s="179">
        <v>8</v>
      </c>
      <c r="J185" s="180">
        <f t="shared" si="11"/>
        <v>4170</v>
      </c>
      <c r="K185" s="190" t="str">
        <f t="shared" si="13"/>
        <v>M</v>
      </c>
      <c r="L185" s="191"/>
      <c r="M185" s="191"/>
      <c r="N185" s="191"/>
      <c r="O185" s="181">
        <f t="shared" si="12"/>
        <v>330000</v>
      </c>
      <c r="P185" s="175">
        <f>82500+165000+82500</f>
        <v>330000</v>
      </c>
      <c r="Q185" s="307">
        <f t="shared" si="15"/>
        <v>100</v>
      </c>
      <c r="S185" s="318">
        <v>44228</v>
      </c>
      <c r="T185" s="318">
        <v>44343</v>
      </c>
      <c r="U185" s="318">
        <v>44460</v>
      </c>
      <c r="V185" s="318"/>
    </row>
    <row r="186" spans="1:22" ht="21.75" customHeight="1" x14ac:dyDescent="0.35">
      <c r="A186" s="184">
        <v>10779</v>
      </c>
      <c r="B186" s="196" t="s">
        <v>671</v>
      </c>
      <c r="C186" s="196" t="s">
        <v>672</v>
      </c>
      <c r="D186" s="131">
        <v>2395</v>
      </c>
      <c r="E186" s="179">
        <v>1150</v>
      </c>
      <c r="F186" s="179">
        <v>110</v>
      </c>
      <c r="G186" s="179">
        <v>16</v>
      </c>
      <c r="H186" s="179">
        <v>24</v>
      </c>
      <c r="I186" s="179">
        <v>12</v>
      </c>
      <c r="J186" s="180">
        <f t="shared" si="11"/>
        <v>3707</v>
      </c>
      <c r="K186" s="190" t="str">
        <f t="shared" si="13"/>
        <v>M</v>
      </c>
      <c r="L186" s="191"/>
      <c r="M186" s="191"/>
      <c r="N186" s="191"/>
      <c r="O186" s="181">
        <f t="shared" si="12"/>
        <v>330000</v>
      </c>
      <c r="P186" s="175">
        <f>82500+165000+82500</f>
        <v>330000</v>
      </c>
      <c r="Q186" s="307">
        <f t="shared" si="15"/>
        <v>100</v>
      </c>
      <c r="S186" s="318">
        <v>44228</v>
      </c>
      <c r="T186" s="318">
        <v>44343</v>
      </c>
      <c r="U186" s="318">
        <v>44460</v>
      </c>
      <c r="V186" s="318"/>
    </row>
    <row r="187" spans="1:22" ht="21.75" customHeight="1" x14ac:dyDescent="0.35">
      <c r="A187" s="184">
        <v>10779</v>
      </c>
      <c r="B187" s="198" t="s">
        <v>619</v>
      </c>
      <c r="C187" s="198" t="s">
        <v>620</v>
      </c>
      <c r="D187" s="132">
        <v>2001</v>
      </c>
      <c r="E187" s="179">
        <v>726</v>
      </c>
      <c r="F187" s="179">
        <v>104</v>
      </c>
      <c r="G187" s="179">
        <v>27</v>
      </c>
      <c r="H187" s="179">
        <v>12</v>
      </c>
      <c r="I187" s="179">
        <v>4</v>
      </c>
      <c r="J187" s="180">
        <f t="shared" si="11"/>
        <v>2874</v>
      </c>
      <c r="K187" s="190" t="str">
        <f t="shared" si="13"/>
        <v>S</v>
      </c>
      <c r="L187" s="191"/>
      <c r="M187" s="191"/>
      <c r="N187" s="191"/>
      <c r="O187" s="181">
        <f t="shared" si="12"/>
        <v>300000</v>
      </c>
      <c r="P187" s="175">
        <f>75000+150000+75000</f>
        <v>300000</v>
      </c>
      <c r="Q187" s="307">
        <f t="shared" si="15"/>
        <v>100</v>
      </c>
      <c r="S187" s="318">
        <v>44228</v>
      </c>
      <c r="T187" s="318">
        <v>44343</v>
      </c>
      <c r="U187" s="318">
        <v>44460</v>
      </c>
      <c r="V187" s="318"/>
    </row>
    <row r="188" spans="1:22" ht="21.75" customHeight="1" x14ac:dyDescent="0.35">
      <c r="A188" s="184">
        <v>10779</v>
      </c>
      <c r="B188" s="198" t="s">
        <v>621</v>
      </c>
      <c r="C188" s="198" t="s">
        <v>622</v>
      </c>
      <c r="D188" s="132">
        <v>1986</v>
      </c>
      <c r="E188" s="179">
        <v>855</v>
      </c>
      <c r="F188" s="179">
        <v>109</v>
      </c>
      <c r="G188" s="179">
        <v>12</v>
      </c>
      <c r="H188" s="179">
        <v>18</v>
      </c>
      <c r="I188" s="179">
        <v>5</v>
      </c>
      <c r="J188" s="180">
        <f t="shared" si="11"/>
        <v>2985</v>
      </c>
      <c r="K188" s="190" t="str">
        <f t="shared" si="13"/>
        <v>S</v>
      </c>
      <c r="L188" s="191"/>
      <c r="M188" s="191"/>
      <c r="N188" s="191"/>
      <c r="O188" s="181">
        <f t="shared" si="12"/>
        <v>300000</v>
      </c>
      <c r="P188" s="175">
        <f>75000+150000+75000</f>
        <v>300000</v>
      </c>
      <c r="Q188" s="307">
        <f t="shared" si="15"/>
        <v>100</v>
      </c>
      <c r="S188" s="318">
        <v>44228</v>
      </c>
      <c r="T188" s="318">
        <v>44343</v>
      </c>
      <c r="U188" s="318">
        <v>44460</v>
      </c>
      <c r="V188" s="318"/>
    </row>
    <row r="189" spans="1:22" ht="21.75" customHeight="1" x14ac:dyDescent="0.35">
      <c r="A189" s="184">
        <v>10779</v>
      </c>
      <c r="B189" s="196" t="s">
        <v>655</v>
      </c>
      <c r="C189" s="196" t="s">
        <v>656</v>
      </c>
      <c r="D189" s="131">
        <v>1654</v>
      </c>
      <c r="E189" s="179">
        <v>738</v>
      </c>
      <c r="F189" s="179">
        <v>147</v>
      </c>
      <c r="G189" s="179">
        <v>22</v>
      </c>
      <c r="H189" s="179">
        <v>19</v>
      </c>
      <c r="I189" s="179">
        <v>4</v>
      </c>
      <c r="J189" s="180">
        <f t="shared" si="11"/>
        <v>2584</v>
      </c>
      <c r="K189" s="190" t="str">
        <f t="shared" si="13"/>
        <v>S</v>
      </c>
      <c r="L189" s="191"/>
      <c r="M189" s="191"/>
      <c r="N189" s="191"/>
      <c r="O189" s="181">
        <f t="shared" si="12"/>
        <v>300000</v>
      </c>
      <c r="P189" s="175">
        <f>75000+150000+75000</f>
        <v>300000</v>
      </c>
      <c r="Q189" s="307">
        <f t="shared" si="15"/>
        <v>100</v>
      </c>
      <c r="S189" s="318">
        <v>44228</v>
      </c>
      <c r="T189" s="318">
        <v>44343</v>
      </c>
      <c r="U189" s="318">
        <v>44460</v>
      </c>
      <c r="V189" s="318"/>
    </row>
    <row r="190" spans="1:22" ht="21.75" customHeight="1" x14ac:dyDescent="0.35">
      <c r="A190" s="184">
        <v>10779</v>
      </c>
      <c r="B190" s="198" t="s">
        <v>623</v>
      </c>
      <c r="C190" s="198" t="s">
        <v>624</v>
      </c>
      <c r="D190" s="132">
        <v>2202</v>
      </c>
      <c r="E190" s="179">
        <v>1115</v>
      </c>
      <c r="F190" s="179">
        <v>145</v>
      </c>
      <c r="G190" s="179">
        <v>32</v>
      </c>
      <c r="H190" s="179">
        <v>32</v>
      </c>
      <c r="I190" s="179">
        <v>1</v>
      </c>
      <c r="J190" s="180">
        <f t="shared" si="11"/>
        <v>3527</v>
      </c>
      <c r="K190" s="190" t="str">
        <f t="shared" si="13"/>
        <v>M</v>
      </c>
      <c r="L190" s="191"/>
      <c r="M190" s="191"/>
      <c r="N190" s="191"/>
      <c r="O190" s="181">
        <f t="shared" si="12"/>
        <v>330000</v>
      </c>
      <c r="P190" s="175">
        <f>82500+165000+82500</f>
        <v>330000</v>
      </c>
      <c r="Q190" s="307">
        <f t="shared" si="15"/>
        <v>100</v>
      </c>
      <c r="S190" s="318">
        <v>44228</v>
      </c>
      <c r="T190" s="318">
        <v>44343</v>
      </c>
      <c r="U190" s="318">
        <v>44460</v>
      </c>
      <c r="V190" s="318"/>
    </row>
    <row r="191" spans="1:22" ht="21.75" customHeight="1" x14ac:dyDescent="0.35">
      <c r="A191" s="184">
        <v>10779</v>
      </c>
      <c r="B191" s="196" t="s">
        <v>673</v>
      </c>
      <c r="C191" s="196" t="s">
        <v>674</v>
      </c>
      <c r="D191" s="131">
        <v>3020</v>
      </c>
      <c r="E191" s="179">
        <v>1302</v>
      </c>
      <c r="F191" s="179">
        <v>692</v>
      </c>
      <c r="G191" s="179">
        <v>64</v>
      </c>
      <c r="H191" s="179">
        <v>82</v>
      </c>
      <c r="I191" s="179">
        <v>8</v>
      </c>
      <c r="J191" s="180">
        <f t="shared" si="11"/>
        <v>5168</v>
      </c>
      <c r="K191" s="190" t="str">
        <f t="shared" si="13"/>
        <v>M</v>
      </c>
      <c r="L191" s="191"/>
      <c r="M191" s="191"/>
      <c r="N191" s="191"/>
      <c r="O191" s="181">
        <f t="shared" si="12"/>
        <v>330000</v>
      </c>
      <c r="P191" s="175">
        <f>82500+165000+82500</f>
        <v>330000</v>
      </c>
      <c r="Q191" s="307">
        <f t="shared" si="15"/>
        <v>100</v>
      </c>
      <c r="S191" s="318">
        <v>44228</v>
      </c>
      <c r="T191" s="318">
        <v>44343</v>
      </c>
      <c r="U191" s="318">
        <v>44460</v>
      </c>
      <c r="V191" s="318"/>
    </row>
    <row r="192" spans="1:22" ht="21.75" customHeight="1" x14ac:dyDescent="0.35">
      <c r="A192" s="184">
        <v>10779</v>
      </c>
      <c r="B192" s="198" t="s">
        <v>483</v>
      </c>
      <c r="C192" s="198" t="s">
        <v>484</v>
      </c>
      <c r="D192" s="132">
        <v>1402</v>
      </c>
      <c r="E192" s="179">
        <v>610</v>
      </c>
      <c r="F192" s="179">
        <v>208</v>
      </c>
      <c r="G192" s="179">
        <v>25</v>
      </c>
      <c r="H192" s="179">
        <v>26</v>
      </c>
      <c r="I192" s="179">
        <v>4</v>
      </c>
      <c r="J192" s="180">
        <f t="shared" si="11"/>
        <v>2275</v>
      </c>
      <c r="K192" s="190" t="str">
        <f t="shared" si="13"/>
        <v>S</v>
      </c>
      <c r="L192" s="191"/>
      <c r="M192" s="191"/>
      <c r="N192" s="191"/>
      <c r="O192" s="181">
        <f t="shared" si="12"/>
        <v>300000</v>
      </c>
      <c r="P192" s="175">
        <f>75000+150000+75000</f>
        <v>300000</v>
      </c>
      <c r="Q192" s="307">
        <f t="shared" si="15"/>
        <v>100</v>
      </c>
      <c r="S192" s="318">
        <v>44228</v>
      </c>
      <c r="T192" s="318">
        <v>44343</v>
      </c>
      <c r="U192" s="318">
        <v>44460</v>
      </c>
      <c r="V192" s="318"/>
    </row>
    <row r="193" spans="1:23" ht="21.75" customHeight="1" x14ac:dyDescent="0.35">
      <c r="A193" s="184">
        <v>10779</v>
      </c>
      <c r="B193" s="198" t="s">
        <v>485</v>
      </c>
      <c r="C193" s="198" t="s">
        <v>486</v>
      </c>
      <c r="D193" s="131">
        <v>1254</v>
      </c>
      <c r="E193" s="179">
        <v>584</v>
      </c>
      <c r="F193" s="179">
        <v>177</v>
      </c>
      <c r="G193" s="179">
        <v>12</v>
      </c>
      <c r="H193" s="179">
        <v>20</v>
      </c>
      <c r="I193" s="179">
        <v>6</v>
      </c>
      <c r="J193" s="180">
        <f t="shared" si="11"/>
        <v>2053</v>
      </c>
      <c r="K193" s="190" t="str">
        <f t="shared" si="13"/>
        <v>S</v>
      </c>
      <c r="L193" s="191"/>
      <c r="M193" s="191"/>
      <c r="N193" s="191"/>
      <c r="O193" s="181">
        <f t="shared" si="12"/>
        <v>300000</v>
      </c>
      <c r="P193" s="175">
        <f>75000+150000+75000</f>
        <v>300000</v>
      </c>
      <c r="Q193" s="307">
        <f t="shared" si="15"/>
        <v>100</v>
      </c>
      <c r="S193" s="318">
        <v>44228</v>
      </c>
      <c r="T193" s="318">
        <v>44343</v>
      </c>
      <c r="U193" s="318">
        <v>44460</v>
      </c>
      <c r="V193" s="318"/>
    </row>
    <row r="194" spans="1:23" ht="21.75" customHeight="1" x14ac:dyDescent="0.35">
      <c r="A194" s="184">
        <v>10780</v>
      </c>
      <c r="B194" s="198" t="s">
        <v>677</v>
      </c>
      <c r="C194" s="198" t="s">
        <v>678</v>
      </c>
      <c r="D194" s="132">
        <v>761</v>
      </c>
      <c r="E194" s="179">
        <v>458</v>
      </c>
      <c r="F194" s="179">
        <v>260</v>
      </c>
      <c r="G194" s="179">
        <v>46</v>
      </c>
      <c r="H194" s="179">
        <v>40</v>
      </c>
      <c r="I194" s="179">
        <v>3</v>
      </c>
      <c r="J194" s="180">
        <f t="shared" si="11"/>
        <v>1568</v>
      </c>
      <c r="K194" s="190" t="str">
        <f t="shared" si="13"/>
        <v>S</v>
      </c>
      <c r="L194" s="191"/>
      <c r="M194" s="191"/>
      <c r="N194" s="191"/>
      <c r="O194" s="181">
        <f t="shared" si="12"/>
        <v>300000</v>
      </c>
      <c r="P194" s="249">
        <f>200000+150000</f>
        <v>350000</v>
      </c>
      <c r="Q194" s="307">
        <f t="shared" si="15"/>
        <v>116.66666666666667</v>
      </c>
      <c r="S194" s="318">
        <v>44264</v>
      </c>
      <c r="T194" s="318">
        <v>44361</v>
      </c>
      <c r="V194" s="326"/>
      <c r="W194" s="175"/>
    </row>
    <row r="195" spans="1:23" ht="21.75" customHeight="1" x14ac:dyDescent="0.35">
      <c r="A195" s="184">
        <v>10780</v>
      </c>
      <c r="B195" s="196" t="s">
        <v>679</v>
      </c>
      <c r="C195" s="196" t="s">
        <v>680</v>
      </c>
      <c r="D195" s="131">
        <v>480</v>
      </c>
      <c r="E195" s="179">
        <v>34</v>
      </c>
      <c r="F195" s="179">
        <v>23</v>
      </c>
      <c r="G195" s="179">
        <v>1</v>
      </c>
      <c r="H195" s="179">
        <v>1</v>
      </c>
      <c r="I195" s="179">
        <v>0</v>
      </c>
      <c r="J195" s="180">
        <f t="shared" si="11"/>
        <v>539</v>
      </c>
      <c r="K195" s="190" t="str">
        <f t="shared" si="13"/>
        <v>S</v>
      </c>
      <c r="L195" s="191"/>
      <c r="M195" s="191"/>
      <c r="N195" s="191"/>
      <c r="O195" s="181">
        <f t="shared" si="12"/>
        <v>300000</v>
      </c>
      <c r="P195" s="175">
        <f>170000+150000</f>
        <v>320000</v>
      </c>
      <c r="Q195" s="307">
        <f t="shared" si="15"/>
        <v>106.66666666666667</v>
      </c>
      <c r="S195" s="318">
        <v>44264</v>
      </c>
      <c r="T195" s="318">
        <v>44361</v>
      </c>
      <c r="V195" s="326"/>
      <c r="W195" s="175"/>
    </row>
    <row r="196" spans="1:23" ht="21.75" customHeight="1" x14ac:dyDescent="0.35">
      <c r="A196" s="184">
        <v>10780</v>
      </c>
      <c r="B196" s="196" t="s">
        <v>681</v>
      </c>
      <c r="C196" s="196" t="s">
        <v>682</v>
      </c>
      <c r="D196" s="131">
        <v>260</v>
      </c>
      <c r="E196" s="179">
        <v>346</v>
      </c>
      <c r="F196" s="179">
        <v>79</v>
      </c>
      <c r="G196" s="179">
        <v>16</v>
      </c>
      <c r="H196" s="179">
        <v>7</v>
      </c>
      <c r="I196" s="179">
        <v>0</v>
      </c>
      <c r="J196" s="180">
        <f t="shared" si="11"/>
        <v>708</v>
      </c>
      <c r="K196" s="190" t="str">
        <f t="shared" si="13"/>
        <v>S</v>
      </c>
      <c r="L196" s="191"/>
      <c r="M196" s="191"/>
      <c r="N196" s="191"/>
      <c r="O196" s="181">
        <f t="shared" si="12"/>
        <v>300000</v>
      </c>
      <c r="P196" s="175">
        <f>170000+150000</f>
        <v>320000</v>
      </c>
      <c r="Q196" s="307">
        <f t="shared" si="15"/>
        <v>106.66666666666667</v>
      </c>
      <c r="S196" s="318">
        <v>44264</v>
      </c>
      <c r="T196" s="318">
        <v>44361</v>
      </c>
      <c r="V196" s="326"/>
      <c r="W196" s="175"/>
    </row>
    <row r="197" spans="1:23" ht="21.75" customHeight="1" x14ac:dyDescent="0.35">
      <c r="A197" s="184">
        <v>10780</v>
      </c>
      <c r="B197" s="196" t="s">
        <v>683</v>
      </c>
      <c r="C197" s="196" t="s">
        <v>377</v>
      </c>
      <c r="D197" s="131">
        <v>760</v>
      </c>
      <c r="E197" s="179">
        <v>313</v>
      </c>
      <c r="F197" s="179">
        <v>107</v>
      </c>
      <c r="G197" s="179">
        <v>18</v>
      </c>
      <c r="H197" s="179">
        <v>11</v>
      </c>
      <c r="I197" s="179">
        <v>0</v>
      </c>
      <c r="J197" s="180">
        <f t="shared" ref="J197:J209" si="16">SUM(D197:I197)</f>
        <v>1209</v>
      </c>
      <c r="K197" s="190" t="str">
        <f t="shared" si="13"/>
        <v>S</v>
      </c>
      <c r="L197" s="191"/>
      <c r="M197" s="191"/>
      <c r="N197" s="191"/>
      <c r="O197" s="181">
        <f t="shared" ref="O197:O209" si="17">VLOOKUP(J197,$O$217:$P$220,2)</f>
        <v>300000</v>
      </c>
      <c r="P197" s="175">
        <f>170000+150000</f>
        <v>320000</v>
      </c>
      <c r="Q197" s="307">
        <f t="shared" si="15"/>
        <v>106.66666666666667</v>
      </c>
      <c r="S197" s="318">
        <v>44264</v>
      </c>
      <c r="T197" s="318">
        <v>44361</v>
      </c>
      <c r="V197" s="326"/>
      <c r="W197" s="175"/>
    </row>
    <row r="198" spans="1:23" ht="21.75" customHeight="1" x14ac:dyDescent="0.35">
      <c r="A198" s="184">
        <v>10780</v>
      </c>
      <c r="B198" s="198" t="s">
        <v>684</v>
      </c>
      <c r="C198" s="198" t="s">
        <v>685</v>
      </c>
      <c r="D198" s="132">
        <v>1092</v>
      </c>
      <c r="E198" s="179">
        <v>478</v>
      </c>
      <c r="F198" s="179">
        <v>177</v>
      </c>
      <c r="G198" s="179">
        <v>30</v>
      </c>
      <c r="H198" s="179">
        <v>27</v>
      </c>
      <c r="I198" s="179">
        <v>3</v>
      </c>
      <c r="J198" s="180">
        <f t="shared" si="16"/>
        <v>1807</v>
      </c>
      <c r="K198" s="190" t="str">
        <f t="shared" ref="K198:K209" si="18">VLOOKUP(J198,$N$212:$O$215,2)</f>
        <v>S</v>
      </c>
      <c r="L198" s="191"/>
      <c r="M198" s="191"/>
      <c r="N198" s="191"/>
      <c r="O198" s="181">
        <f t="shared" si="17"/>
        <v>300000</v>
      </c>
      <c r="P198" s="175">
        <f>170000+105880</f>
        <v>275880</v>
      </c>
      <c r="Q198" s="307">
        <f t="shared" si="15"/>
        <v>91.96</v>
      </c>
      <c r="S198" s="318">
        <v>44264</v>
      </c>
      <c r="T198" s="318">
        <v>44361</v>
      </c>
      <c r="V198" s="326"/>
      <c r="W198" s="175"/>
    </row>
    <row r="199" spans="1:23" ht="21.75" customHeight="1" x14ac:dyDescent="0.35">
      <c r="A199" s="184">
        <v>10780</v>
      </c>
      <c r="B199" s="196" t="s">
        <v>686</v>
      </c>
      <c r="C199" s="196" t="s">
        <v>687</v>
      </c>
      <c r="D199" s="131">
        <v>962</v>
      </c>
      <c r="E199" s="179">
        <v>386</v>
      </c>
      <c r="F199" s="179">
        <v>207</v>
      </c>
      <c r="G199" s="179">
        <v>24</v>
      </c>
      <c r="H199" s="179">
        <v>19</v>
      </c>
      <c r="I199" s="179">
        <v>1</v>
      </c>
      <c r="J199" s="180">
        <f t="shared" si="16"/>
        <v>1599</v>
      </c>
      <c r="K199" s="190" t="str">
        <f t="shared" si="18"/>
        <v>S</v>
      </c>
      <c r="L199" s="191"/>
      <c r="M199" s="191"/>
      <c r="N199" s="191"/>
      <c r="O199" s="181">
        <f t="shared" si="17"/>
        <v>300000</v>
      </c>
      <c r="P199" s="175">
        <f>170000+150000</f>
        <v>320000</v>
      </c>
      <c r="Q199" s="307">
        <f t="shared" si="15"/>
        <v>106.66666666666667</v>
      </c>
      <c r="S199" s="318">
        <v>44264</v>
      </c>
      <c r="T199" s="318">
        <v>44361</v>
      </c>
      <c r="V199" s="326"/>
      <c r="W199" s="175"/>
    </row>
    <row r="200" spans="1:23" ht="21.75" customHeight="1" x14ac:dyDescent="0.35">
      <c r="A200" s="184">
        <v>10780</v>
      </c>
      <c r="B200" s="198" t="s">
        <v>688</v>
      </c>
      <c r="C200" s="198" t="s">
        <v>689</v>
      </c>
      <c r="D200" s="132">
        <v>840</v>
      </c>
      <c r="E200" s="179">
        <v>348</v>
      </c>
      <c r="F200" s="179">
        <v>157</v>
      </c>
      <c r="G200" s="179">
        <v>12</v>
      </c>
      <c r="H200" s="179">
        <v>18</v>
      </c>
      <c r="I200" s="179">
        <v>2</v>
      </c>
      <c r="J200" s="180">
        <f t="shared" si="16"/>
        <v>1377</v>
      </c>
      <c r="K200" s="190" t="str">
        <f t="shared" si="18"/>
        <v>S</v>
      </c>
      <c r="L200" s="191"/>
      <c r="M200" s="191"/>
      <c r="N200" s="191"/>
      <c r="O200" s="181">
        <f t="shared" si="17"/>
        <v>300000</v>
      </c>
      <c r="P200" s="175">
        <f>140000+150000</f>
        <v>290000</v>
      </c>
      <c r="Q200" s="307">
        <f t="shared" si="15"/>
        <v>96.666666666666671</v>
      </c>
      <c r="S200" s="318">
        <v>44264</v>
      </c>
      <c r="T200" s="318">
        <v>44361</v>
      </c>
      <c r="V200" s="326"/>
      <c r="W200" s="175"/>
    </row>
    <row r="201" spans="1:23" ht="21.75" customHeight="1" x14ac:dyDescent="0.35">
      <c r="A201" s="184">
        <v>10780</v>
      </c>
      <c r="B201" s="196" t="s">
        <v>690</v>
      </c>
      <c r="C201" s="196" t="s">
        <v>691</v>
      </c>
      <c r="D201" s="131">
        <v>894</v>
      </c>
      <c r="E201" s="179">
        <v>428</v>
      </c>
      <c r="F201" s="179">
        <v>210</v>
      </c>
      <c r="G201" s="179">
        <v>37</v>
      </c>
      <c r="H201" s="179">
        <v>26</v>
      </c>
      <c r="I201" s="179">
        <v>1</v>
      </c>
      <c r="J201" s="180">
        <f t="shared" si="16"/>
        <v>1596</v>
      </c>
      <c r="K201" s="190" t="str">
        <f t="shared" si="18"/>
        <v>S</v>
      </c>
      <c r="L201" s="191"/>
      <c r="M201" s="191"/>
      <c r="N201" s="191"/>
      <c r="O201" s="181">
        <f t="shared" si="17"/>
        <v>300000</v>
      </c>
      <c r="P201" s="175">
        <f>170000+200000</f>
        <v>370000</v>
      </c>
      <c r="Q201" s="307">
        <f t="shared" si="15"/>
        <v>123.33333333333333</v>
      </c>
      <c r="S201" s="318">
        <v>44264</v>
      </c>
      <c r="T201" s="318">
        <v>44361</v>
      </c>
      <c r="V201" s="326"/>
      <c r="W201" s="175"/>
    </row>
    <row r="202" spans="1:23" ht="21.75" customHeight="1" x14ac:dyDescent="0.35">
      <c r="A202" s="184">
        <v>10780</v>
      </c>
      <c r="B202" s="198" t="s">
        <v>692</v>
      </c>
      <c r="C202" s="198" t="s">
        <v>693</v>
      </c>
      <c r="D202" s="132">
        <v>2246</v>
      </c>
      <c r="E202" s="179">
        <v>837</v>
      </c>
      <c r="F202" s="179">
        <v>277</v>
      </c>
      <c r="G202" s="179">
        <v>33</v>
      </c>
      <c r="H202" s="179">
        <v>42</v>
      </c>
      <c r="I202" s="179">
        <v>6</v>
      </c>
      <c r="J202" s="180">
        <f t="shared" si="16"/>
        <v>3441</v>
      </c>
      <c r="K202" s="190" t="str">
        <f t="shared" si="18"/>
        <v>M</v>
      </c>
      <c r="L202" s="191"/>
      <c r="M202" s="191"/>
      <c r="N202" s="191"/>
      <c r="O202" s="181">
        <f t="shared" si="17"/>
        <v>330000</v>
      </c>
      <c r="P202" s="175">
        <f>185000+165000</f>
        <v>350000</v>
      </c>
      <c r="Q202" s="307">
        <f t="shared" si="15"/>
        <v>106.06060606060606</v>
      </c>
      <c r="S202" s="318">
        <v>44264</v>
      </c>
      <c r="T202" s="318">
        <v>44361</v>
      </c>
      <c r="V202" s="326"/>
      <c r="W202" s="175"/>
    </row>
    <row r="203" spans="1:23" ht="21.75" customHeight="1" x14ac:dyDescent="0.35">
      <c r="A203" s="184">
        <v>10780</v>
      </c>
      <c r="B203" s="196" t="s">
        <v>694</v>
      </c>
      <c r="C203" s="196" t="s">
        <v>695</v>
      </c>
      <c r="D203" s="131">
        <v>1153</v>
      </c>
      <c r="E203" s="179">
        <v>475</v>
      </c>
      <c r="F203" s="179">
        <v>227</v>
      </c>
      <c r="G203" s="179">
        <v>30</v>
      </c>
      <c r="H203" s="179">
        <v>28</v>
      </c>
      <c r="I203" s="179">
        <v>5</v>
      </c>
      <c r="J203" s="180">
        <f t="shared" si="16"/>
        <v>1918</v>
      </c>
      <c r="K203" s="190" t="str">
        <f t="shared" si="18"/>
        <v>S</v>
      </c>
      <c r="L203" s="191"/>
      <c r="M203" s="191"/>
      <c r="N203" s="191"/>
      <c r="O203" s="181">
        <f t="shared" si="17"/>
        <v>300000</v>
      </c>
      <c r="P203" s="175">
        <f>100000+100000</f>
        <v>200000</v>
      </c>
      <c r="Q203" s="307">
        <f t="shared" si="15"/>
        <v>66.666666666666671</v>
      </c>
      <c r="S203" s="318">
        <v>44264</v>
      </c>
      <c r="T203" s="318">
        <v>44361</v>
      </c>
      <c r="V203" s="326"/>
      <c r="W203" s="175"/>
    </row>
    <row r="204" spans="1:23" ht="21.75" customHeight="1" x14ac:dyDescent="0.35">
      <c r="A204" s="184">
        <v>10780</v>
      </c>
      <c r="B204" s="198" t="s">
        <v>696</v>
      </c>
      <c r="C204" s="198" t="s">
        <v>697</v>
      </c>
      <c r="D204" s="132">
        <v>1337</v>
      </c>
      <c r="E204" s="179">
        <v>490</v>
      </c>
      <c r="F204" s="179">
        <v>174</v>
      </c>
      <c r="G204" s="179">
        <v>34</v>
      </c>
      <c r="H204" s="179">
        <v>35</v>
      </c>
      <c r="I204" s="179">
        <v>3</v>
      </c>
      <c r="J204" s="180">
        <f t="shared" si="16"/>
        <v>2073</v>
      </c>
      <c r="K204" s="190" t="str">
        <f t="shared" si="18"/>
        <v>S</v>
      </c>
      <c r="L204" s="191"/>
      <c r="M204" s="191"/>
      <c r="N204" s="191"/>
      <c r="O204" s="181">
        <f t="shared" si="17"/>
        <v>300000</v>
      </c>
      <c r="P204" s="175">
        <f>200000+150000</f>
        <v>350000</v>
      </c>
      <c r="Q204" s="307">
        <f t="shared" si="15"/>
        <v>116.66666666666667</v>
      </c>
      <c r="S204" s="318">
        <v>44264</v>
      </c>
      <c r="T204" s="318">
        <v>44361</v>
      </c>
      <c r="V204" s="326"/>
      <c r="W204" s="175"/>
    </row>
    <row r="205" spans="1:23" ht="21.75" customHeight="1" x14ac:dyDescent="0.35">
      <c r="A205" s="184">
        <v>10780</v>
      </c>
      <c r="B205" s="196" t="s">
        <v>698</v>
      </c>
      <c r="C205" s="196" t="s">
        <v>281</v>
      </c>
      <c r="D205" s="131">
        <v>1233</v>
      </c>
      <c r="E205" s="179">
        <v>569</v>
      </c>
      <c r="F205" s="179">
        <v>159</v>
      </c>
      <c r="G205" s="179">
        <v>27</v>
      </c>
      <c r="H205" s="179">
        <v>30</v>
      </c>
      <c r="I205" s="179">
        <v>2</v>
      </c>
      <c r="J205" s="180">
        <f t="shared" si="16"/>
        <v>2020</v>
      </c>
      <c r="K205" s="190" t="str">
        <f t="shared" si="18"/>
        <v>S</v>
      </c>
      <c r="L205" s="191"/>
      <c r="M205" s="191"/>
      <c r="N205" s="191"/>
      <c r="O205" s="181">
        <f t="shared" si="17"/>
        <v>300000</v>
      </c>
      <c r="P205" s="175">
        <f>170000+150000</f>
        <v>320000</v>
      </c>
      <c r="Q205" s="307">
        <f t="shared" si="15"/>
        <v>106.66666666666667</v>
      </c>
      <c r="S205" s="318">
        <v>44264</v>
      </c>
      <c r="T205" s="318">
        <v>44361</v>
      </c>
      <c r="V205" s="326"/>
      <c r="W205" s="175"/>
    </row>
    <row r="206" spans="1:23" ht="21.75" customHeight="1" x14ac:dyDescent="0.35">
      <c r="A206" s="184">
        <v>10781</v>
      </c>
      <c r="B206" s="196" t="s">
        <v>701</v>
      </c>
      <c r="C206" s="196" t="s">
        <v>702</v>
      </c>
      <c r="D206" s="131">
        <v>1159</v>
      </c>
      <c r="E206" s="179">
        <v>416</v>
      </c>
      <c r="F206" s="179">
        <v>316</v>
      </c>
      <c r="G206" s="179">
        <v>65</v>
      </c>
      <c r="H206" s="179">
        <v>45</v>
      </c>
      <c r="I206" s="179">
        <v>5</v>
      </c>
      <c r="J206" s="180">
        <f t="shared" si="16"/>
        <v>2006</v>
      </c>
      <c r="K206" s="190" t="str">
        <f t="shared" si="18"/>
        <v>S</v>
      </c>
      <c r="L206" s="191"/>
      <c r="M206" s="191"/>
      <c r="N206" s="191"/>
      <c r="O206" s="181">
        <f t="shared" si="17"/>
        <v>300000</v>
      </c>
      <c r="P206" s="249">
        <v>200000</v>
      </c>
      <c r="Q206" s="307">
        <f t="shared" si="15"/>
        <v>66.666666666666671</v>
      </c>
      <c r="S206" s="318">
        <v>44118</v>
      </c>
      <c r="V206" s="318"/>
    </row>
    <row r="207" spans="1:23" ht="21.75" customHeight="1" x14ac:dyDescent="0.35">
      <c r="A207" s="184">
        <v>10781</v>
      </c>
      <c r="B207" s="196" t="s">
        <v>703</v>
      </c>
      <c r="C207" s="196" t="s">
        <v>704</v>
      </c>
      <c r="D207" s="131">
        <v>1503</v>
      </c>
      <c r="E207" s="179">
        <v>556</v>
      </c>
      <c r="F207" s="179">
        <v>242</v>
      </c>
      <c r="G207" s="179">
        <v>35</v>
      </c>
      <c r="H207" s="179">
        <v>35</v>
      </c>
      <c r="I207" s="179">
        <v>21</v>
      </c>
      <c r="J207" s="180">
        <f t="shared" si="16"/>
        <v>2392</v>
      </c>
      <c r="K207" s="190" t="str">
        <f t="shared" si="18"/>
        <v>S</v>
      </c>
      <c r="L207" s="191"/>
      <c r="M207" s="191"/>
      <c r="N207" s="191"/>
      <c r="O207" s="181">
        <f t="shared" si="17"/>
        <v>300000</v>
      </c>
      <c r="P207" s="249">
        <v>200000</v>
      </c>
      <c r="Q207" s="307">
        <f t="shared" si="15"/>
        <v>66.666666666666671</v>
      </c>
      <c r="S207" s="318">
        <v>44179</v>
      </c>
      <c r="V207" s="318"/>
    </row>
    <row r="208" spans="1:23" ht="21.75" customHeight="1" x14ac:dyDescent="0.35">
      <c r="A208" s="184">
        <v>10781</v>
      </c>
      <c r="B208" s="198" t="s">
        <v>705</v>
      </c>
      <c r="C208" s="198" t="s">
        <v>706</v>
      </c>
      <c r="D208" s="132">
        <v>789</v>
      </c>
      <c r="E208" s="179">
        <v>349</v>
      </c>
      <c r="F208" s="179">
        <v>97</v>
      </c>
      <c r="G208" s="179">
        <v>13</v>
      </c>
      <c r="H208" s="179">
        <v>14</v>
      </c>
      <c r="I208" s="179">
        <v>2</v>
      </c>
      <c r="J208" s="180">
        <f t="shared" si="16"/>
        <v>1264</v>
      </c>
      <c r="K208" s="190" t="str">
        <f t="shared" si="18"/>
        <v>S</v>
      </c>
      <c r="L208" s="191"/>
      <c r="M208" s="191"/>
      <c r="N208" s="191"/>
      <c r="O208" s="181">
        <f t="shared" si="17"/>
        <v>300000</v>
      </c>
      <c r="P208" s="249">
        <v>200000</v>
      </c>
      <c r="Q208" s="307">
        <f t="shared" si="15"/>
        <v>66.666666666666671</v>
      </c>
      <c r="S208" s="318">
        <v>44179</v>
      </c>
      <c r="V208" s="318"/>
    </row>
    <row r="209" spans="1:23" ht="21.75" customHeight="1" x14ac:dyDescent="0.35">
      <c r="A209" s="184">
        <v>10781</v>
      </c>
      <c r="B209" s="196" t="s">
        <v>707</v>
      </c>
      <c r="C209" s="196" t="s">
        <v>708</v>
      </c>
      <c r="D209" s="131">
        <v>853</v>
      </c>
      <c r="E209" s="179">
        <v>396</v>
      </c>
      <c r="F209" s="179">
        <v>96</v>
      </c>
      <c r="G209" s="179">
        <v>5</v>
      </c>
      <c r="H209" s="179">
        <v>14</v>
      </c>
      <c r="I209" s="179">
        <v>3</v>
      </c>
      <c r="J209" s="180">
        <f t="shared" si="16"/>
        <v>1367</v>
      </c>
      <c r="K209" s="190" t="str">
        <f t="shared" si="18"/>
        <v>S</v>
      </c>
      <c r="L209" s="191"/>
      <c r="M209" s="191"/>
      <c r="N209" s="191"/>
      <c r="O209" s="181">
        <f t="shared" si="17"/>
        <v>300000</v>
      </c>
      <c r="P209" s="249">
        <v>200000</v>
      </c>
      <c r="Q209" s="307">
        <f t="shared" si="15"/>
        <v>66.666666666666671</v>
      </c>
      <c r="S209" s="318">
        <v>44179</v>
      </c>
      <c r="V209" s="318"/>
    </row>
    <row r="210" spans="1:23" s="182" customFormat="1" x14ac:dyDescent="0.35">
      <c r="D210" s="173"/>
      <c r="E210" s="173"/>
      <c r="F210" s="173"/>
      <c r="G210" s="173"/>
      <c r="H210" s="173"/>
      <c r="I210" s="173"/>
      <c r="J210" s="173"/>
      <c r="K210" s="183"/>
      <c r="L210" s="210">
        <f>SUM(L5:L209)</f>
        <v>0</v>
      </c>
      <c r="M210" s="210"/>
      <c r="N210" s="210">
        <f>SUM(N5:N209)</f>
        <v>0</v>
      </c>
      <c r="O210" s="182">
        <f>SUM(L210:N210)</f>
        <v>0</v>
      </c>
      <c r="Q210" s="307"/>
      <c r="S210" s="327"/>
      <c r="T210" s="327"/>
      <c r="U210" s="327"/>
      <c r="V210" s="327"/>
    </row>
    <row r="211" spans="1:23" s="182" customFormat="1" ht="18" customHeight="1" x14ac:dyDescent="0.35">
      <c r="D211" s="219">
        <f>SUM(D5:D210)</f>
        <v>399722</v>
      </c>
      <c r="E211" s="219">
        <f t="shared" ref="E211" si="19">SUM(E5:E210)</f>
        <v>170487</v>
      </c>
      <c r="F211" s="219">
        <f t="shared" ref="F211" si="20">SUM(F5:F210)</f>
        <v>45109</v>
      </c>
      <c r="G211" s="219">
        <f t="shared" ref="G211" si="21">SUM(G5:G210)</f>
        <v>5855</v>
      </c>
      <c r="H211" s="219">
        <f t="shared" ref="H211" si="22">SUM(H5:H210)</f>
        <v>7049.2</v>
      </c>
      <c r="I211" s="219">
        <f t="shared" ref="I211" si="23">SUM(I5:I210)</f>
        <v>1106</v>
      </c>
      <c r="J211" s="219">
        <f>SUM(J5:J210)</f>
        <v>629328.19999999995</v>
      </c>
      <c r="K211" s="183"/>
      <c r="L211" s="210"/>
      <c r="M211" s="210"/>
      <c r="N211" s="210"/>
      <c r="P211" s="174"/>
      <c r="Q211" s="307"/>
      <c r="S211" s="327"/>
      <c r="T211" s="327"/>
      <c r="U211" s="327"/>
      <c r="V211" s="327"/>
    </row>
    <row r="212" spans="1:23" s="182" customFormat="1" ht="15.75" customHeight="1" x14ac:dyDescent="0.35">
      <c r="D212" s="173"/>
      <c r="E212" s="173"/>
      <c r="F212" s="173"/>
      <c r="G212" s="173"/>
      <c r="H212" s="173"/>
      <c r="I212" s="173"/>
      <c r="J212" s="173"/>
      <c r="K212" s="183"/>
      <c r="L212" s="210"/>
      <c r="M212" s="210"/>
      <c r="N212" s="211" t="s">
        <v>880</v>
      </c>
      <c r="O212" s="211" t="s">
        <v>881</v>
      </c>
      <c r="Q212" s="307"/>
      <c r="S212" s="327"/>
      <c r="T212" s="327"/>
      <c r="U212" s="327"/>
      <c r="V212" s="327"/>
    </row>
    <row r="213" spans="1:23" s="182" customFormat="1" ht="16.5" customHeight="1" x14ac:dyDescent="0.35">
      <c r="D213" s="173"/>
      <c r="E213" s="173"/>
      <c r="F213" s="173"/>
      <c r="G213" s="173"/>
      <c r="H213" s="173"/>
      <c r="I213" s="173"/>
      <c r="J213" s="173"/>
      <c r="K213" s="183"/>
      <c r="L213" s="210"/>
      <c r="M213" s="210"/>
      <c r="N213" s="212">
        <v>0</v>
      </c>
      <c r="O213" s="213" t="s">
        <v>867</v>
      </c>
      <c r="Q213" s="307"/>
      <c r="S213" s="327"/>
      <c r="T213" s="327"/>
      <c r="U213" s="327"/>
      <c r="V213" s="327"/>
    </row>
    <row r="214" spans="1:23" s="182" customFormat="1" ht="15.75" customHeight="1" x14ac:dyDescent="0.35">
      <c r="D214" s="173"/>
      <c r="E214" s="173"/>
      <c r="F214" s="173"/>
      <c r="G214" s="173"/>
      <c r="H214" s="173"/>
      <c r="I214" s="173"/>
      <c r="J214" s="173"/>
      <c r="K214" s="183"/>
      <c r="L214" s="210"/>
      <c r="M214" s="210"/>
      <c r="N214" s="214">
        <v>3001</v>
      </c>
      <c r="O214" s="213" t="s">
        <v>868</v>
      </c>
      <c r="Q214" s="307"/>
      <c r="S214" s="327"/>
      <c r="T214" s="327"/>
      <c r="U214" s="327"/>
      <c r="V214" s="327"/>
    </row>
    <row r="215" spans="1:23" s="182" customFormat="1" ht="12.75" customHeight="1" x14ac:dyDescent="0.35">
      <c r="D215" s="173"/>
      <c r="E215" s="173"/>
      <c r="F215" s="173"/>
      <c r="G215" s="173"/>
      <c r="H215" s="173"/>
      <c r="I215" s="173"/>
      <c r="J215" s="173"/>
      <c r="K215" s="183"/>
      <c r="L215" s="210"/>
      <c r="M215" s="210"/>
      <c r="N215" s="214">
        <v>8001</v>
      </c>
      <c r="O215" s="213" t="s">
        <v>869</v>
      </c>
      <c r="Q215" s="307"/>
      <c r="S215" s="327"/>
      <c r="T215" s="327"/>
      <c r="U215" s="327"/>
      <c r="V215" s="327"/>
    </row>
    <row r="216" spans="1:23" x14ac:dyDescent="0.35">
      <c r="P216" s="184"/>
    </row>
    <row r="217" spans="1:23" ht="20.25" customHeight="1" x14ac:dyDescent="0.35">
      <c r="O217" s="243" t="s">
        <v>880</v>
      </c>
      <c r="P217" s="243" t="s">
        <v>882</v>
      </c>
    </row>
    <row r="218" spans="1:23" x14ac:dyDescent="0.35">
      <c r="O218" s="244">
        <v>0</v>
      </c>
      <c r="P218" s="245">
        <v>300000</v>
      </c>
    </row>
    <row r="219" spans="1:23" ht="19.5" customHeight="1" x14ac:dyDescent="0.35">
      <c r="O219" s="246">
        <v>3001</v>
      </c>
      <c r="P219" s="245">
        <v>330000</v>
      </c>
    </row>
    <row r="220" spans="1:23" ht="17.25" customHeight="1" x14ac:dyDescent="0.35">
      <c r="O220" s="246">
        <v>8001</v>
      </c>
      <c r="P220" s="245">
        <v>360000</v>
      </c>
    </row>
    <row r="222" spans="1:23" x14ac:dyDescent="0.35">
      <c r="W222" s="175">
        <f>SUBTOTAL(9,W100:W119)</f>
        <v>2735000</v>
      </c>
    </row>
    <row r="224" spans="1:23" x14ac:dyDescent="0.35">
      <c r="S224" s="318">
        <v>1305000</v>
      </c>
      <c r="V224" s="323">
        <f>SUBTOTAL(9,V194:V205)</f>
        <v>0</v>
      </c>
      <c r="W224" s="310">
        <f>SUBTOTAL(9,W194:W205)</f>
        <v>0</v>
      </c>
    </row>
  </sheetData>
  <autoFilter ref="A4:R215"/>
  <mergeCells count="13">
    <mergeCell ref="K2:K3"/>
    <mergeCell ref="O2:O3"/>
    <mergeCell ref="P2:P3"/>
    <mergeCell ref="L1:N1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ageMargins left="0.17" right="0.17" top="0.74803149606299213" bottom="0.74803149606299213" header="0.31496062992125984" footer="0.31496062992125984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4"/>
  <sheetViews>
    <sheetView workbookViewId="0">
      <selection sqref="A1:C1"/>
    </sheetView>
  </sheetViews>
  <sheetFormatPr defaultRowHeight="21" x14ac:dyDescent="0.35"/>
  <cols>
    <col min="1" max="1" width="15.7109375" style="2" customWidth="1"/>
    <col min="2" max="2" width="23.140625" style="2" customWidth="1"/>
    <col min="3" max="3" width="27" style="2" customWidth="1"/>
    <col min="4" max="4" width="12.5703125" style="2" customWidth="1"/>
    <col min="5" max="5" width="10.42578125" style="22" customWidth="1"/>
    <col min="6" max="6" width="14.5703125" style="22" customWidth="1"/>
    <col min="7" max="7" width="13.7109375" style="22" customWidth="1"/>
    <col min="8" max="8" width="9.140625" style="22"/>
    <col min="9" max="9" width="18.5703125" style="22" customWidth="1"/>
    <col min="10" max="10" width="14.7109375" style="22" customWidth="1"/>
    <col min="11" max="16384" width="9.140625" style="2"/>
  </cols>
  <sheetData>
    <row r="1" spans="1:10" x14ac:dyDescent="0.35">
      <c r="A1" s="334" t="s">
        <v>720</v>
      </c>
      <c r="B1" s="334"/>
      <c r="C1" s="334"/>
      <c r="D1" s="330" t="s">
        <v>249</v>
      </c>
      <c r="E1" s="330"/>
      <c r="F1" s="330"/>
      <c r="G1" s="330"/>
      <c r="H1" s="330"/>
      <c r="I1" s="330"/>
      <c r="J1" s="330"/>
    </row>
    <row r="2" spans="1:10" x14ac:dyDescent="0.35">
      <c r="A2" s="334" t="s">
        <v>861</v>
      </c>
      <c r="B2" s="334"/>
      <c r="C2" s="334"/>
      <c r="D2" s="330" t="s">
        <v>862</v>
      </c>
      <c r="E2" s="330"/>
      <c r="F2" s="330"/>
      <c r="G2" s="330"/>
      <c r="H2" s="330"/>
      <c r="I2" s="330"/>
      <c r="J2" s="330"/>
    </row>
    <row r="3" spans="1:10" x14ac:dyDescent="0.35">
      <c r="C3" s="63"/>
      <c r="D3" s="44"/>
      <c r="E3" s="44"/>
      <c r="F3" s="335" t="s">
        <v>716</v>
      </c>
      <c r="G3" s="335"/>
      <c r="H3" s="335"/>
      <c r="I3" s="335"/>
      <c r="J3" s="335"/>
    </row>
    <row r="4" spans="1:10" x14ac:dyDescent="0.35">
      <c r="A4" s="85" t="s">
        <v>714</v>
      </c>
      <c r="B4" s="85" t="s">
        <v>254</v>
      </c>
      <c r="C4" s="86" t="s">
        <v>715</v>
      </c>
      <c r="D4" s="18" t="s">
        <v>223</v>
      </c>
      <c r="E4" s="19" t="s">
        <v>222</v>
      </c>
      <c r="F4" s="19" t="s">
        <v>218</v>
      </c>
      <c r="G4" s="19" t="s">
        <v>219</v>
      </c>
      <c r="H4" s="19" t="s">
        <v>225</v>
      </c>
      <c r="I4" s="19" t="s">
        <v>226</v>
      </c>
      <c r="J4" s="19" t="s">
        <v>221</v>
      </c>
    </row>
    <row r="5" spans="1:10" x14ac:dyDescent="0.35">
      <c r="A5" s="6" t="s">
        <v>430</v>
      </c>
      <c r="B5" s="6" t="s">
        <v>431</v>
      </c>
      <c r="C5" s="6">
        <v>9889</v>
      </c>
      <c r="D5" s="16" t="s">
        <v>37</v>
      </c>
      <c r="E5" s="17" t="s">
        <v>0</v>
      </c>
      <c r="F5" s="13">
        <v>1832</v>
      </c>
      <c r="G5" s="13">
        <v>755</v>
      </c>
      <c r="H5" s="13">
        <v>217</v>
      </c>
      <c r="I5" s="13">
        <v>101</v>
      </c>
      <c r="J5" s="13">
        <v>13</v>
      </c>
    </row>
    <row r="6" spans="1:10" x14ac:dyDescent="0.35">
      <c r="A6" s="6"/>
      <c r="B6" s="6"/>
      <c r="C6" s="6"/>
      <c r="D6" s="16" t="s">
        <v>37</v>
      </c>
      <c r="E6" s="17" t="s">
        <v>15</v>
      </c>
      <c r="F6" s="13">
        <v>3</v>
      </c>
      <c r="G6" s="13">
        <v>2</v>
      </c>
      <c r="H6" s="15">
        <v>0</v>
      </c>
      <c r="I6" s="15">
        <v>0</v>
      </c>
      <c r="J6" s="15">
        <v>0</v>
      </c>
    </row>
    <row r="7" spans="1:10" x14ac:dyDescent="0.35">
      <c r="A7" s="6"/>
      <c r="B7" s="6"/>
      <c r="C7" s="6"/>
      <c r="D7" s="16" t="s">
        <v>38</v>
      </c>
      <c r="E7" s="17" t="s">
        <v>17</v>
      </c>
      <c r="F7" s="13">
        <v>543</v>
      </c>
      <c r="G7" s="13">
        <v>139</v>
      </c>
      <c r="H7" s="13">
        <v>25</v>
      </c>
      <c r="I7" s="13">
        <v>23</v>
      </c>
      <c r="J7" s="13">
        <v>3</v>
      </c>
    </row>
    <row r="8" spans="1:10" x14ac:dyDescent="0.35">
      <c r="A8" s="6"/>
      <c r="B8" s="6"/>
      <c r="C8" s="6"/>
      <c r="D8" s="16" t="s">
        <v>38</v>
      </c>
      <c r="E8" s="17" t="s">
        <v>6</v>
      </c>
      <c r="F8" s="13">
        <v>487</v>
      </c>
      <c r="G8" s="13">
        <v>88</v>
      </c>
      <c r="H8" s="13">
        <v>27</v>
      </c>
      <c r="I8" s="13">
        <v>21</v>
      </c>
      <c r="J8" s="15">
        <v>3</v>
      </c>
    </row>
    <row r="9" spans="1:10" x14ac:dyDescent="0.35">
      <c r="A9" s="6"/>
      <c r="B9" s="6"/>
      <c r="C9" s="6"/>
      <c r="D9" s="16" t="s">
        <v>38</v>
      </c>
      <c r="E9" s="17" t="s">
        <v>7</v>
      </c>
      <c r="F9" s="13">
        <v>549</v>
      </c>
      <c r="G9" s="13">
        <v>89</v>
      </c>
      <c r="H9" s="13">
        <v>8</v>
      </c>
      <c r="I9" s="13">
        <v>16</v>
      </c>
      <c r="J9" s="13">
        <v>0</v>
      </c>
    </row>
    <row r="10" spans="1:10" x14ac:dyDescent="0.35">
      <c r="A10" s="6"/>
      <c r="B10" s="6"/>
      <c r="C10" s="6"/>
      <c r="D10" s="16" t="s">
        <v>38</v>
      </c>
      <c r="E10" s="17" t="s">
        <v>9</v>
      </c>
      <c r="F10" s="13">
        <v>256</v>
      </c>
      <c r="G10" s="13">
        <v>85</v>
      </c>
      <c r="H10" s="13">
        <v>13</v>
      </c>
      <c r="I10" s="13">
        <v>20</v>
      </c>
      <c r="J10" s="15">
        <v>1</v>
      </c>
    </row>
    <row r="11" spans="1:10" x14ac:dyDescent="0.35">
      <c r="A11" s="6"/>
      <c r="B11" s="6"/>
      <c r="C11" s="6"/>
      <c r="D11" s="16" t="s">
        <v>39</v>
      </c>
      <c r="E11" s="17" t="s">
        <v>17</v>
      </c>
      <c r="F11" s="13">
        <v>169</v>
      </c>
      <c r="G11" s="13">
        <v>36</v>
      </c>
      <c r="H11" s="13">
        <v>5</v>
      </c>
      <c r="I11" s="13">
        <v>6</v>
      </c>
      <c r="J11" s="15"/>
    </row>
    <row r="12" spans="1:10" x14ac:dyDescent="0.35">
      <c r="A12" s="6"/>
      <c r="B12" s="6"/>
      <c r="C12" s="6"/>
      <c r="D12" s="16" t="s">
        <v>39</v>
      </c>
      <c r="E12" s="17" t="s">
        <v>4</v>
      </c>
      <c r="F12" s="13">
        <v>270</v>
      </c>
      <c r="G12" s="13">
        <v>33</v>
      </c>
      <c r="H12" s="13">
        <v>9</v>
      </c>
      <c r="I12" s="13">
        <v>12</v>
      </c>
      <c r="J12" s="13">
        <v>5</v>
      </c>
    </row>
    <row r="13" spans="1:10" x14ac:dyDescent="0.35">
      <c r="A13" s="6"/>
      <c r="B13" s="6"/>
      <c r="C13" s="6"/>
      <c r="D13" s="16" t="s">
        <v>39</v>
      </c>
      <c r="E13" s="17" t="s">
        <v>5</v>
      </c>
      <c r="F13" s="13">
        <v>215</v>
      </c>
      <c r="G13" s="13">
        <v>83</v>
      </c>
      <c r="H13" s="13">
        <v>10</v>
      </c>
      <c r="I13" s="13">
        <v>14</v>
      </c>
      <c r="J13" s="15">
        <v>0</v>
      </c>
    </row>
    <row r="14" spans="1:10" x14ac:dyDescent="0.35">
      <c r="A14" s="6"/>
      <c r="B14" s="6"/>
      <c r="C14" s="6"/>
      <c r="D14" s="16" t="s">
        <v>39</v>
      </c>
      <c r="E14" s="17" t="s">
        <v>6</v>
      </c>
      <c r="F14" s="13">
        <v>267</v>
      </c>
      <c r="G14" s="13">
        <v>48</v>
      </c>
      <c r="H14" s="13">
        <v>16</v>
      </c>
      <c r="I14" s="13">
        <v>15</v>
      </c>
      <c r="J14" s="13">
        <v>0</v>
      </c>
    </row>
    <row r="15" spans="1:10" x14ac:dyDescent="0.35">
      <c r="A15" s="73"/>
      <c r="B15" s="73"/>
      <c r="C15" s="73"/>
      <c r="D15" s="16" t="s">
        <v>39</v>
      </c>
      <c r="E15" s="17" t="s">
        <v>9</v>
      </c>
      <c r="F15" s="13">
        <v>16</v>
      </c>
      <c r="G15" s="13">
        <v>2</v>
      </c>
      <c r="H15" s="15">
        <v>0</v>
      </c>
      <c r="I15" s="15">
        <v>0</v>
      </c>
      <c r="J15" s="15">
        <v>0</v>
      </c>
    </row>
    <row r="16" spans="1:10" x14ac:dyDescent="0.35">
      <c r="A16" s="79"/>
      <c r="B16" s="3" t="s">
        <v>433</v>
      </c>
      <c r="C16" s="3">
        <v>1697</v>
      </c>
      <c r="D16" s="16" t="s">
        <v>38</v>
      </c>
      <c r="E16" s="17" t="s">
        <v>0</v>
      </c>
      <c r="F16" s="12"/>
      <c r="G16" s="14"/>
      <c r="H16" s="14">
        <v>0</v>
      </c>
      <c r="I16" s="12">
        <v>1</v>
      </c>
      <c r="J16" s="14">
        <v>1</v>
      </c>
    </row>
    <row r="17" spans="1:15" x14ac:dyDescent="0.35">
      <c r="A17" s="3" t="s">
        <v>432</v>
      </c>
      <c r="D17" s="16" t="s">
        <v>38</v>
      </c>
      <c r="E17" s="17" t="s">
        <v>2</v>
      </c>
      <c r="F17" s="12">
        <v>96</v>
      </c>
      <c r="G17" s="12">
        <v>21</v>
      </c>
      <c r="H17" s="12">
        <v>3</v>
      </c>
      <c r="I17" s="12">
        <v>6</v>
      </c>
      <c r="J17" s="14">
        <v>1</v>
      </c>
    </row>
    <row r="18" spans="1:15" x14ac:dyDescent="0.35">
      <c r="A18" s="79"/>
      <c r="B18" s="79"/>
      <c r="C18" s="79"/>
      <c r="D18" s="16" t="s">
        <v>38</v>
      </c>
      <c r="E18" s="17" t="s">
        <v>3</v>
      </c>
      <c r="F18" s="12">
        <v>165</v>
      </c>
      <c r="G18" s="12">
        <v>31</v>
      </c>
      <c r="H18" s="12">
        <v>8</v>
      </c>
      <c r="I18" s="12">
        <v>6</v>
      </c>
      <c r="J18" s="12">
        <v>3</v>
      </c>
    </row>
    <row r="19" spans="1:15" x14ac:dyDescent="0.35">
      <c r="A19" s="79"/>
      <c r="B19" s="79"/>
      <c r="C19" s="79"/>
      <c r="D19" s="16" t="s">
        <v>38</v>
      </c>
      <c r="E19" s="17" t="s">
        <v>4</v>
      </c>
      <c r="F19" s="12">
        <v>142</v>
      </c>
      <c r="G19" s="12">
        <v>27</v>
      </c>
      <c r="H19" s="12">
        <v>3</v>
      </c>
      <c r="I19" s="12">
        <v>8</v>
      </c>
      <c r="J19" s="14">
        <v>1</v>
      </c>
    </row>
    <row r="20" spans="1:15" x14ac:dyDescent="0.35">
      <c r="A20" s="79"/>
      <c r="B20" s="79"/>
      <c r="C20" s="79"/>
      <c r="D20" s="16" t="s">
        <v>38</v>
      </c>
      <c r="E20" s="17" t="s">
        <v>5</v>
      </c>
      <c r="F20" s="12">
        <v>169</v>
      </c>
      <c r="G20" s="12">
        <v>33</v>
      </c>
      <c r="H20" s="12">
        <v>8</v>
      </c>
      <c r="I20" s="12">
        <v>3</v>
      </c>
      <c r="J20" s="14">
        <v>2</v>
      </c>
    </row>
    <row r="21" spans="1:15" x14ac:dyDescent="0.35">
      <c r="A21" s="79"/>
      <c r="B21" s="79"/>
      <c r="C21" s="79"/>
      <c r="D21" s="16" t="s">
        <v>38</v>
      </c>
      <c r="E21" s="17" t="s">
        <v>8</v>
      </c>
      <c r="F21" s="12">
        <v>222</v>
      </c>
      <c r="G21" s="12">
        <v>31</v>
      </c>
      <c r="H21" s="12">
        <v>1</v>
      </c>
      <c r="I21" s="12">
        <v>6</v>
      </c>
      <c r="J21" s="12">
        <v>1</v>
      </c>
    </row>
    <row r="22" spans="1:15" x14ac:dyDescent="0.35">
      <c r="A22" s="79"/>
      <c r="B22" s="79"/>
      <c r="C22" s="79"/>
      <c r="D22" s="16" t="s">
        <v>38</v>
      </c>
      <c r="E22" s="17" t="s">
        <v>15</v>
      </c>
      <c r="F22" s="12">
        <v>2</v>
      </c>
      <c r="G22" s="14">
        <v>0</v>
      </c>
      <c r="H22" s="14">
        <v>0</v>
      </c>
      <c r="I22" s="14">
        <v>0</v>
      </c>
      <c r="J22" s="14">
        <v>0</v>
      </c>
      <c r="K22" s="2">
        <f>SUM(F16:F22)</f>
        <v>796</v>
      </c>
      <c r="L22" s="2">
        <f t="shared" ref="L22:N22" si="0">SUM(G16:G22)</f>
        <v>143</v>
      </c>
      <c r="M22" s="2">
        <f t="shared" si="0"/>
        <v>23</v>
      </c>
      <c r="N22" s="2">
        <f t="shared" si="0"/>
        <v>30</v>
      </c>
      <c r="O22" s="2">
        <f>SUM(J16:J22)</f>
        <v>9</v>
      </c>
    </row>
    <row r="23" spans="1:15" x14ac:dyDescent="0.35">
      <c r="A23" s="6" t="s">
        <v>434</v>
      </c>
      <c r="B23" s="6" t="s">
        <v>435</v>
      </c>
      <c r="C23" s="6">
        <v>1926</v>
      </c>
      <c r="D23" s="16" t="s">
        <v>39</v>
      </c>
      <c r="E23" s="17" t="s">
        <v>2</v>
      </c>
      <c r="F23" s="13">
        <v>124</v>
      </c>
      <c r="G23" s="13">
        <v>34</v>
      </c>
      <c r="H23" s="13">
        <v>3</v>
      </c>
      <c r="I23" s="13">
        <v>4</v>
      </c>
      <c r="J23" s="15">
        <v>2</v>
      </c>
    </row>
    <row r="24" spans="1:15" x14ac:dyDescent="0.35">
      <c r="A24" s="73"/>
      <c r="B24" s="73"/>
      <c r="C24" s="73"/>
      <c r="D24" s="16" t="s">
        <v>39</v>
      </c>
      <c r="E24" s="17" t="s">
        <v>3</v>
      </c>
      <c r="F24" s="13">
        <v>210</v>
      </c>
      <c r="G24" s="13">
        <v>59</v>
      </c>
      <c r="H24" s="13">
        <v>16</v>
      </c>
      <c r="I24" s="13">
        <v>16</v>
      </c>
      <c r="J24" s="15">
        <v>1</v>
      </c>
    </row>
    <row r="25" spans="1:15" x14ac:dyDescent="0.35">
      <c r="A25" s="73"/>
      <c r="B25" s="73"/>
      <c r="C25" s="73"/>
      <c r="D25" s="16" t="s">
        <v>39</v>
      </c>
      <c r="E25" s="17" t="s">
        <v>7</v>
      </c>
      <c r="F25" s="13">
        <v>144</v>
      </c>
      <c r="G25" s="13">
        <v>11</v>
      </c>
      <c r="H25" s="13">
        <v>2</v>
      </c>
      <c r="I25" s="13">
        <v>4</v>
      </c>
      <c r="J25" s="13">
        <v>3</v>
      </c>
    </row>
    <row r="26" spans="1:15" x14ac:dyDescent="0.35">
      <c r="A26" s="73"/>
      <c r="B26" s="73"/>
      <c r="C26" s="73"/>
      <c r="D26" s="16" t="s">
        <v>39</v>
      </c>
      <c r="E26" s="17" t="s">
        <v>8</v>
      </c>
      <c r="F26" s="13">
        <v>149</v>
      </c>
      <c r="G26" s="13">
        <v>26</v>
      </c>
      <c r="H26" s="15">
        <v>0</v>
      </c>
      <c r="I26" s="13">
        <v>1</v>
      </c>
      <c r="J26" s="15">
        <v>1</v>
      </c>
    </row>
    <row r="27" spans="1:15" x14ac:dyDescent="0.35">
      <c r="A27" s="73"/>
      <c r="B27" s="73"/>
      <c r="C27" s="73"/>
      <c r="D27" s="16" t="s">
        <v>39</v>
      </c>
      <c r="E27" s="17" t="s">
        <v>11</v>
      </c>
      <c r="F27" s="13">
        <v>322</v>
      </c>
      <c r="G27" s="13">
        <v>95</v>
      </c>
      <c r="H27" s="13">
        <v>7</v>
      </c>
      <c r="I27" s="13">
        <v>23</v>
      </c>
      <c r="J27" s="15">
        <v>3</v>
      </c>
      <c r="K27" s="2">
        <f>SUM(F23:F27)</f>
        <v>949</v>
      </c>
      <c r="L27" s="2">
        <f t="shared" ref="L27:O27" si="1">SUM(G23:G27)</f>
        <v>225</v>
      </c>
      <c r="M27" s="2">
        <f t="shared" si="1"/>
        <v>28</v>
      </c>
      <c r="N27" s="2">
        <f t="shared" si="1"/>
        <v>48</v>
      </c>
      <c r="O27" s="2">
        <f t="shared" si="1"/>
        <v>10</v>
      </c>
    </row>
    <row r="28" spans="1:15" x14ac:dyDescent="0.35">
      <c r="A28" s="3" t="s">
        <v>436</v>
      </c>
      <c r="B28" s="3" t="s">
        <v>437</v>
      </c>
      <c r="C28" s="3">
        <v>850</v>
      </c>
      <c r="D28" s="16" t="s">
        <v>40</v>
      </c>
      <c r="E28" s="17" t="s">
        <v>17</v>
      </c>
      <c r="F28" s="12">
        <v>49</v>
      </c>
      <c r="G28" s="12">
        <v>4</v>
      </c>
      <c r="H28" s="14">
        <v>0</v>
      </c>
      <c r="I28" s="12">
        <v>3</v>
      </c>
      <c r="J28" s="12">
        <v>1</v>
      </c>
    </row>
    <row r="29" spans="1:15" x14ac:dyDescent="0.35">
      <c r="A29" s="3"/>
      <c r="B29" s="3"/>
      <c r="C29" s="3"/>
      <c r="D29" s="16" t="s">
        <v>40</v>
      </c>
      <c r="E29" s="17" t="s">
        <v>2</v>
      </c>
      <c r="F29" s="12">
        <v>83</v>
      </c>
      <c r="G29" s="12">
        <v>17</v>
      </c>
      <c r="H29" s="12">
        <v>5</v>
      </c>
      <c r="I29" s="12">
        <v>5</v>
      </c>
      <c r="J29" s="14">
        <v>0</v>
      </c>
    </row>
    <row r="30" spans="1:15" x14ac:dyDescent="0.35">
      <c r="A30" s="3"/>
      <c r="B30" s="3"/>
      <c r="C30" s="3"/>
      <c r="D30" s="16" t="s">
        <v>40</v>
      </c>
      <c r="E30" s="17" t="s">
        <v>6</v>
      </c>
      <c r="F30" s="12">
        <v>61</v>
      </c>
      <c r="G30" s="12">
        <v>33</v>
      </c>
      <c r="H30" s="12">
        <v>3</v>
      </c>
      <c r="I30" s="12">
        <v>2</v>
      </c>
      <c r="J30" s="14">
        <v>0</v>
      </c>
    </row>
    <row r="31" spans="1:15" x14ac:dyDescent="0.35">
      <c r="A31" s="3"/>
      <c r="B31" s="3"/>
      <c r="C31" s="3"/>
      <c r="D31" s="16" t="s">
        <v>40</v>
      </c>
      <c r="E31" s="17" t="s">
        <v>7</v>
      </c>
      <c r="F31" s="12">
        <v>65</v>
      </c>
      <c r="G31" s="12">
        <v>21</v>
      </c>
      <c r="H31" s="12">
        <v>4</v>
      </c>
      <c r="I31" s="12">
        <v>2</v>
      </c>
      <c r="J31" s="12">
        <v>0</v>
      </c>
    </row>
    <row r="32" spans="1:15" x14ac:dyDescent="0.35">
      <c r="A32" s="3"/>
      <c r="B32" s="3"/>
      <c r="C32" s="3"/>
      <c r="D32" s="16" t="s">
        <v>40</v>
      </c>
      <c r="E32" s="17" t="s">
        <v>8</v>
      </c>
      <c r="F32" s="12">
        <v>66</v>
      </c>
      <c r="G32" s="12">
        <v>10</v>
      </c>
      <c r="H32" s="12">
        <v>4</v>
      </c>
      <c r="I32" s="12">
        <v>3</v>
      </c>
      <c r="J32" s="14">
        <v>0</v>
      </c>
    </row>
    <row r="33" spans="1:15" x14ac:dyDescent="0.35">
      <c r="A33" s="3"/>
      <c r="B33" s="3"/>
      <c r="C33" s="3"/>
      <c r="D33" s="16" t="s">
        <v>40</v>
      </c>
      <c r="E33" s="17" t="s">
        <v>9</v>
      </c>
      <c r="F33" s="12">
        <v>80</v>
      </c>
      <c r="G33" s="12">
        <v>13</v>
      </c>
      <c r="H33" s="12">
        <v>1</v>
      </c>
      <c r="I33" s="12">
        <v>1</v>
      </c>
      <c r="J33" s="14">
        <v>0</v>
      </c>
      <c r="K33" s="2">
        <f>SUM(F28:F33)</f>
        <v>404</v>
      </c>
      <c r="L33" s="2">
        <f t="shared" ref="L33:O33" si="2">SUM(G28:G33)</f>
        <v>98</v>
      </c>
      <c r="M33" s="2">
        <f t="shared" si="2"/>
        <v>17</v>
      </c>
      <c r="N33" s="2">
        <f t="shared" si="2"/>
        <v>16</v>
      </c>
      <c r="O33" s="2">
        <f t="shared" si="2"/>
        <v>1</v>
      </c>
    </row>
    <row r="34" spans="1:15" x14ac:dyDescent="0.35">
      <c r="A34" s="133" t="s">
        <v>438</v>
      </c>
      <c r="B34" s="133" t="s">
        <v>439</v>
      </c>
      <c r="C34" s="133">
        <v>1019</v>
      </c>
      <c r="D34" s="16" t="s">
        <v>40</v>
      </c>
      <c r="E34" s="17" t="s">
        <v>3</v>
      </c>
      <c r="F34" s="37">
        <v>131</v>
      </c>
      <c r="G34" s="37">
        <v>38</v>
      </c>
      <c r="H34" s="37">
        <v>3</v>
      </c>
      <c r="I34" s="37">
        <v>5</v>
      </c>
      <c r="J34" s="38">
        <v>1</v>
      </c>
    </row>
    <row r="35" spans="1:15" x14ac:dyDescent="0.35">
      <c r="A35" s="60"/>
      <c r="B35" s="60"/>
      <c r="C35" s="60"/>
      <c r="D35" s="16" t="s">
        <v>40</v>
      </c>
      <c r="E35" s="17" t="s">
        <v>4</v>
      </c>
      <c r="F35" s="37">
        <v>138</v>
      </c>
      <c r="G35" s="37">
        <v>24</v>
      </c>
      <c r="H35" s="37">
        <v>3</v>
      </c>
      <c r="I35" s="37">
        <v>10</v>
      </c>
      <c r="J35" s="38">
        <v>1</v>
      </c>
    </row>
    <row r="36" spans="1:15" x14ac:dyDescent="0.35">
      <c r="A36" s="60"/>
      <c r="B36" s="60"/>
      <c r="C36" s="60"/>
      <c r="D36" s="16" t="s">
        <v>40</v>
      </c>
      <c r="E36" s="17" t="s">
        <v>5</v>
      </c>
      <c r="F36" s="37">
        <v>182</v>
      </c>
      <c r="G36" s="37">
        <v>15</v>
      </c>
      <c r="H36" s="37">
        <v>2</v>
      </c>
      <c r="I36" s="37">
        <v>4</v>
      </c>
      <c r="J36" s="38">
        <v>1</v>
      </c>
      <c r="K36" s="2">
        <f>SUM(F34:F36)</f>
        <v>451</v>
      </c>
      <c r="L36" s="2">
        <f t="shared" ref="L36:O36" si="3">SUM(G34:G36)</f>
        <v>77</v>
      </c>
      <c r="M36" s="2">
        <f t="shared" si="3"/>
        <v>8</v>
      </c>
      <c r="N36" s="2">
        <f t="shared" si="3"/>
        <v>19</v>
      </c>
      <c r="O36" s="2">
        <f t="shared" si="3"/>
        <v>3</v>
      </c>
    </row>
    <row r="37" spans="1:15" x14ac:dyDescent="0.35">
      <c r="A37" s="6" t="s">
        <v>440</v>
      </c>
      <c r="B37" s="3" t="s">
        <v>441</v>
      </c>
      <c r="C37" s="3">
        <v>1342</v>
      </c>
      <c r="D37" s="16" t="s">
        <v>41</v>
      </c>
      <c r="E37" s="17" t="s">
        <v>17</v>
      </c>
      <c r="F37" s="12">
        <v>280</v>
      </c>
      <c r="G37" s="12">
        <v>19</v>
      </c>
      <c r="H37" s="12">
        <v>9</v>
      </c>
      <c r="I37" s="12">
        <v>7</v>
      </c>
      <c r="J37" s="12">
        <v>1</v>
      </c>
    </row>
    <row r="38" spans="1:15" x14ac:dyDescent="0.35">
      <c r="A38" s="6"/>
      <c r="B38" s="3"/>
      <c r="C38" s="3"/>
      <c r="D38" s="16" t="s">
        <v>41</v>
      </c>
      <c r="E38" s="17" t="s">
        <v>3</v>
      </c>
      <c r="F38" s="12">
        <v>63</v>
      </c>
      <c r="G38" s="12">
        <v>10</v>
      </c>
      <c r="H38" s="12">
        <v>3</v>
      </c>
      <c r="I38" s="12">
        <v>2</v>
      </c>
      <c r="J38" s="14">
        <v>2</v>
      </c>
    </row>
    <row r="39" spans="1:15" x14ac:dyDescent="0.35">
      <c r="A39" s="73"/>
      <c r="B39" s="79"/>
      <c r="C39" s="79"/>
      <c r="D39" s="16" t="s">
        <v>41</v>
      </c>
      <c r="E39" s="17" t="s">
        <v>4</v>
      </c>
      <c r="F39" s="12">
        <v>90</v>
      </c>
      <c r="G39" s="12">
        <v>18</v>
      </c>
      <c r="H39" s="14">
        <v>2</v>
      </c>
      <c r="I39" s="12">
        <v>3</v>
      </c>
      <c r="J39" s="14">
        <v>0</v>
      </c>
    </row>
    <row r="40" spans="1:15" x14ac:dyDescent="0.35">
      <c r="A40" s="73"/>
      <c r="B40" s="79"/>
      <c r="C40" s="79"/>
      <c r="D40" s="16" t="s">
        <v>41</v>
      </c>
      <c r="E40" s="17" t="s">
        <v>5</v>
      </c>
      <c r="F40" s="12">
        <v>34</v>
      </c>
      <c r="G40" s="12">
        <v>9</v>
      </c>
      <c r="H40" s="12">
        <v>2</v>
      </c>
      <c r="I40" s="12">
        <v>3</v>
      </c>
      <c r="J40" s="14">
        <v>0</v>
      </c>
    </row>
    <row r="41" spans="1:15" x14ac:dyDescent="0.35">
      <c r="A41" s="73"/>
      <c r="B41" s="79"/>
      <c r="C41" s="79"/>
      <c r="D41" s="16" t="s">
        <v>41</v>
      </c>
      <c r="E41" s="17" t="s">
        <v>7</v>
      </c>
      <c r="F41" s="12">
        <v>72</v>
      </c>
      <c r="G41" s="12">
        <v>15</v>
      </c>
      <c r="H41" s="12">
        <v>2</v>
      </c>
      <c r="I41" s="12">
        <v>3</v>
      </c>
      <c r="J41" s="14">
        <v>0</v>
      </c>
    </row>
    <row r="42" spans="1:15" x14ac:dyDescent="0.35">
      <c r="A42" s="73"/>
      <c r="B42" s="79"/>
      <c r="C42" s="79"/>
      <c r="D42" s="16" t="s">
        <v>41</v>
      </c>
      <c r="E42" s="17" t="s">
        <v>8</v>
      </c>
      <c r="F42" s="12">
        <v>63</v>
      </c>
      <c r="G42" s="12">
        <v>24</v>
      </c>
      <c r="H42" s="12">
        <v>2</v>
      </c>
      <c r="I42" s="12">
        <v>1</v>
      </c>
      <c r="J42" s="12">
        <v>1</v>
      </c>
    </row>
    <row r="43" spans="1:15" x14ac:dyDescent="0.35">
      <c r="A43" s="73"/>
      <c r="B43" s="79"/>
      <c r="C43" s="79"/>
      <c r="D43" s="16" t="s">
        <v>41</v>
      </c>
      <c r="E43" s="17" t="s">
        <v>13</v>
      </c>
      <c r="F43" s="12">
        <v>20</v>
      </c>
      <c r="G43" s="12">
        <v>14</v>
      </c>
      <c r="H43" s="12">
        <v>1</v>
      </c>
      <c r="I43" s="12">
        <v>2</v>
      </c>
      <c r="J43" s="14">
        <v>0</v>
      </c>
    </row>
    <row r="44" spans="1:15" x14ac:dyDescent="0.35">
      <c r="A44" s="73"/>
      <c r="B44" s="79"/>
      <c r="C44" s="79"/>
      <c r="D44" s="16" t="s">
        <v>41</v>
      </c>
      <c r="E44" s="17" t="s">
        <v>22</v>
      </c>
      <c r="F44" s="12">
        <v>62</v>
      </c>
      <c r="G44" s="12">
        <v>13</v>
      </c>
      <c r="H44" s="14">
        <v>0</v>
      </c>
      <c r="I44" s="12">
        <v>3</v>
      </c>
      <c r="J44" s="14">
        <v>0</v>
      </c>
      <c r="K44" s="2">
        <f>SUM(F37:F44)</f>
        <v>684</v>
      </c>
      <c r="L44" s="2">
        <f t="shared" ref="L44:O44" si="4">SUM(G37:G44)</f>
        <v>122</v>
      </c>
      <c r="M44" s="2">
        <f t="shared" si="4"/>
        <v>21</v>
      </c>
      <c r="N44" s="2">
        <f t="shared" si="4"/>
        <v>24</v>
      </c>
      <c r="O44" s="2">
        <f t="shared" si="4"/>
        <v>4</v>
      </c>
    </row>
    <row r="45" spans="1:15" x14ac:dyDescent="0.35">
      <c r="A45" s="6" t="s">
        <v>442</v>
      </c>
      <c r="B45" s="6" t="s">
        <v>443</v>
      </c>
      <c r="C45" s="6">
        <v>1436</v>
      </c>
      <c r="D45" s="16" t="s">
        <v>41</v>
      </c>
      <c r="E45" s="17" t="s">
        <v>2</v>
      </c>
      <c r="F45" s="13">
        <v>56</v>
      </c>
      <c r="G45" s="13">
        <v>12</v>
      </c>
      <c r="H45" s="13">
        <v>3</v>
      </c>
      <c r="I45" s="13">
        <v>1</v>
      </c>
      <c r="J45" s="13">
        <v>1</v>
      </c>
    </row>
    <row r="46" spans="1:15" x14ac:dyDescent="0.35">
      <c r="A46" s="6"/>
      <c r="B46" s="6"/>
      <c r="C46" s="6"/>
      <c r="D46" s="16" t="s">
        <v>41</v>
      </c>
      <c r="E46" s="17" t="s">
        <v>6</v>
      </c>
      <c r="F46" s="13">
        <v>61</v>
      </c>
      <c r="G46" s="13">
        <v>19</v>
      </c>
      <c r="H46" s="15">
        <v>0</v>
      </c>
      <c r="I46" s="13">
        <v>1</v>
      </c>
      <c r="J46" s="15">
        <v>2</v>
      </c>
    </row>
    <row r="47" spans="1:15" x14ac:dyDescent="0.35">
      <c r="A47" s="73"/>
      <c r="B47" s="73"/>
      <c r="C47" s="73"/>
      <c r="D47" s="16" t="s">
        <v>41</v>
      </c>
      <c r="E47" s="17" t="s">
        <v>9</v>
      </c>
      <c r="F47" s="13">
        <v>39</v>
      </c>
      <c r="G47" s="13">
        <v>15</v>
      </c>
      <c r="H47" s="15">
        <v>0</v>
      </c>
      <c r="I47" s="13">
        <v>2</v>
      </c>
      <c r="J47" s="15">
        <v>0</v>
      </c>
    </row>
    <row r="48" spans="1:15" x14ac:dyDescent="0.35">
      <c r="A48" s="73"/>
      <c r="B48" s="73"/>
      <c r="C48" s="73"/>
      <c r="D48" s="16" t="s">
        <v>41</v>
      </c>
      <c r="E48" s="17" t="s">
        <v>11</v>
      </c>
      <c r="F48" s="13">
        <v>245</v>
      </c>
      <c r="G48" s="13">
        <v>31</v>
      </c>
      <c r="H48" s="13">
        <v>7</v>
      </c>
      <c r="I48" s="13">
        <v>7</v>
      </c>
      <c r="J48" s="13">
        <v>0</v>
      </c>
    </row>
    <row r="49" spans="1:15" x14ac:dyDescent="0.35">
      <c r="A49" s="73"/>
      <c r="B49" s="73"/>
      <c r="C49" s="73"/>
      <c r="D49" s="16" t="s">
        <v>41</v>
      </c>
      <c r="E49" s="17" t="s">
        <v>12</v>
      </c>
      <c r="F49" s="13">
        <v>187</v>
      </c>
      <c r="G49" s="13">
        <v>15</v>
      </c>
      <c r="H49" s="13">
        <v>4</v>
      </c>
      <c r="I49" s="13">
        <v>0</v>
      </c>
      <c r="J49" s="15">
        <v>2</v>
      </c>
    </row>
    <row r="50" spans="1:15" x14ac:dyDescent="0.35">
      <c r="A50" s="73"/>
      <c r="B50" s="73"/>
      <c r="C50" s="73"/>
      <c r="D50" s="16" t="s">
        <v>41</v>
      </c>
      <c r="E50" s="17" t="s">
        <v>21</v>
      </c>
      <c r="F50" s="13">
        <v>64</v>
      </c>
      <c r="G50" s="13">
        <v>4</v>
      </c>
      <c r="H50" s="13">
        <v>1</v>
      </c>
      <c r="I50" s="13">
        <v>4</v>
      </c>
      <c r="J50" s="15">
        <v>0</v>
      </c>
    </row>
    <row r="51" spans="1:15" x14ac:dyDescent="0.35">
      <c r="A51" s="73"/>
      <c r="B51" s="73"/>
      <c r="C51" s="73"/>
      <c r="D51" s="16" t="s">
        <v>41</v>
      </c>
      <c r="E51" s="17" t="s">
        <v>42</v>
      </c>
      <c r="F51" s="13">
        <v>97</v>
      </c>
      <c r="G51" s="13">
        <v>13</v>
      </c>
      <c r="H51" s="13">
        <v>14</v>
      </c>
      <c r="I51" s="13">
        <v>4</v>
      </c>
      <c r="J51" s="15">
        <v>1</v>
      </c>
      <c r="K51" s="2">
        <f>SUM(F45:F51)</f>
        <v>749</v>
      </c>
      <c r="L51" s="2">
        <f t="shared" ref="L51:O51" si="5">SUM(G45:G51)</f>
        <v>109</v>
      </c>
      <c r="M51" s="2">
        <f t="shared" si="5"/>
        <v>29</v>
      </c>
      <c r="N51" s="2">
        <f t="shared" si="5"/>
        <v>19</v>
      </c>
      <c r="O51" s="2">
        <f t="shared" si="5"/>
        <v>6</v>
      </c>
    </row>
    <row r="52" spans="1:15" x14ac:dyDescent="0.35">
      <c r="A52" s="3" t="s">
        <v>444</v>
      </c>
      <c r="B52" s="3" t="s">
        <v>445</v>
      </c>
      <c r="C52" s="3">
        <v>1903</v>
      </c>
      <c r="D52" s="16" t="s">
        <v>43</v>
      </c>
      <c r="E52" s="17" t="s">
        <v>17</v>
      </c>
      <c r="F52" s="12">
        <v>34</v>
      </c>
      <c r="G52" s="12">
        <v>19</v>
      </c>
      <c r="H52" s="14">
        <v>0</v>
      </c>
      <c r="I52" s="12">
        <v>0</v>
      </c>
      <c r="J52" s="14">
        <v>0</v>
      </c>
    </row>
    <row r="53" spans="1:15" x14ac:dyDescent="0.35">
      <c r="A53" s="79"/>
      <c r="B53" s="79"/>
      <c r="C53" s="79"/>
      <c r="D53" s="16" t="s">
        <v>43</v>
      </c>
      <c r="E53" s="17" t="s">
        <v>2</v>
      </c>
      <c r="F53" s="12">
        <v>100</v>
      </c>
      <c r="G53" s="12">
        <v>34</v>
      </c>
      <c r="H53" s="12">
        <v>3</v>
      </c>
      <c r="I53" s="12">
        <v>13</v>
      </c>
      <c r="J53" s="14">
        <v>0</v>
      </c>
    </row>
    <row r="54" spans="1:15" x14ac:dyDescent="0.35">
      <c r="A54" s="79"/>
      <c r="B54" s="79"/>
      <c r="C54" s="79"/>
      <c r="D54" s="16" t="s">
        <v>43</v>
      </c>
      <c r="E54" s="17" t="s">
        <v>3</v>
      </c>
      <c r="F54" s="12">
        <v>131</v>
      </c>
      <c r="G54" s="12">
        <v>53</v>
      </c>
      <c r="H54" s="14">
        <v>0</v>
      </c>
      <c r="I54" s="12">
        <v>5</v>
      </c>
      <c r="J54" s="14">
        <v>3</v>
      </c>
    </row>
    <row r="55" spans="1:15" x14ac:dyDescent="0.35">
      <c r="A55" s="79"/>
      <c r="B55" s="79"/>
      <c r="C55" s="79"/>
      <c r="D55" s="16" t="s">
        <v>43</v>
      </c>
      <c r="E55" s="17" t="s">
        <v>4</v>
      </c>
      <c r="F55" s="12">
        <v>96</v>
      </c>
      <c r="G55" s="12">
        <v>21</v>
      </c>
      <c r="H55" s="12">
        <v>1</v>
      </c>
      <c r="I55" s="12">
        <v>4</v>
      </c>
      <c r="J55" s="14">
        <v>0</v>
      </c>
    </row>
    <row r="56" spans="1:15" x14ac:dyDescent="0.35">
      <c r="A56" s="79"/>
      <c r="B56" s="79"/>
      <c r="C56" s="79"/>
      <c r="D56" s="16" t="s">
        <v>43</v>
      </c>
      <c r="E56" s="17" t="s">
        <v>5</v>
      </c>
      <c r="F56" s="12">
        <v>150</v>
      </c>
      <c r="G56" s="12">
        <v>36</v>
      </c>
      <c r="H56" s="12">
        <v>17</v>
      </c>
      <c r="I56" s="12">
        <v>10</v>
      </c>
      <c r="J56" s="14">
        <v>0</v>
      </c>
    </row>
    <row r="57" spans="1:15" x14ac:dyDescent="0.35">
      <c r="A57" s="79"/>
      <c r="B57" s="79"/>
      <c r="C57" s="79"/>
      <c r="D57" s="16" t="s">
        <v>43</v>
      </c>
      <c r="E57" s="17" t="s">
        <v>6</v>
      </c>
      <c r="F57" s="12">
        <v>98</v>
      </c>
      <c r="G57" s="12">
        <v>31</v>
      </c>
      <c r="H57" s="14">
        <v>0</v>
      </c>
      <c r="I57" s="12">
        <v>3</v>
      </c>
      <c r="J57" s="14">
        <v>1</v>
      </c>
    </row>
    <row r="58" spans="1:15" x14ac:dyDescent="0.35">
      <c r="A58" s="79"/>
      <c r="B58" s="79"/>
      <c r="C58" s="79"/>
      <c r="D58" s="16" t="s">
        <v>43</v>
      </c>
      <c r="E58" s="17" t="s">
        <v>7</v>
      </c>
      <c r="F58" s="12">
        <v>99</v>
      </c>
      <c r="G58" s="12">
        <v>21</v>
      </c>
      <c r="H58" s="14">
        <v>1</v>
      </c>
      <c r="I58" s="12">
        <v>7</v>
      </c>
      <c r="J58" s="14">
        <v>0</v>
      </c>
    </row>
    <row r="59" spans="1:15" x14ac:dyDescent="0.35">
      <c r="A59" s="79"/>
      <c r="B59" s="79"/>
      <c r="C59" s="79"/>
      <c r="D59" s="16" t="s">
        <v>43</v>
      </c>
      <c r="E59" s="17" t="s">
        <v>8</v>
      </c>
      <c r="F59" s="12">
        <v>153</v>
      </c>
      <c r="G59" s="12">
        <v>11</v>
      </c>
      <c r="H59" s="14">
        <v>0</v>
      </c>
      <c r="I59" s="12">
        <v>2</v>
      </c>
      <c r="J59" s="14">
        <v>1</v>
      </c>
      <c r="K59" s="2">
        <f>SUM(F52:F59)</f>
        <v>861</v>
      </c>
      <c r="L59" s="2">
        <f t="shared" ref="L59:O59" si="6">SUM(G52:G59)</f>
        <v>226</v>
      </c>
      <c r="M59" s="2">
        <f t="shared" si="6"/>
        <v>22</v>
      </c>
      <c r="N59" s="2">
        <f t="shared" si="6"/>
        <v>44</v>
      </c>
      <c r="O59" s="2">
        <f t="shared" si="6"/>
        <v>5</v>
      </c>
    </row>
    <row r="60" spans="1:15" x14ac:dyDescent="0.35">
      <c r="A60" s="6" t="s">
        <v>446</v>
      </c>
      <c r="B60" s="6" t="s">
        <v>447</v>
      </c>
      <c r="C60" s="6">
        <v>875</v>
      </c>
      <c r="D60" s="16" t="s">
        <v>44</v>
      </c>
      <c r="E60" s="17" t="s">
        <v>17</v>
      </c>
      <c r="F60" s="13">
        <v>216</v>
      </c>
      <c r="G60" s="13">
        <v>40</v>
      </c>
      <c r="H60" s="13">
        <v>16</v>
      </c>
      <c r="I60" s="13">
        <v>7</v>
      </c>
      <c r="J60" s="15">
        <v>1</v>
      </c>
    </row>
    <row r="61" spans="1:15" x14ac:dyDescent="0.35">
      <c r="A61" s="6"/>
      <c r="B61" s="6"/>
      <c r="C61" s="6"/>
      <c r="D61" s="16" t="s">
        <v>44</v>
      </c>
      <c r="E61" s="17" t="s">
        <v>3</v>
      </c>
      <c r="F61" s="13">
        <v>155</v>
      </c>
      <c r="G61" s="13">
        <v>15</v>
      </c>
      <c r="H61" s="13">
        <v>4</v>
      </c>
      <c r="I61" s="13">
        <v>4</v>
      </c>
      <c r="J61" s="13">
        <v>3</v>
      </c>
    </row>
    <row r="62" spans="1:15" x14ac:dyDescent="0.35">
      <c r="B62" s="73"/>
      <c r="C62" s="73"/>
      <c r="D62" s="16" t="s">
        <v>44</v>
      </c>
      <c r="E62" s="17" t="s">
        <v>5</v>
      </c>
      <c r="F62" s="13">
        <v>109</v>
      </c>
      <c r="G62" s="13">
        <v>26</v>
      </c>
      <c r="H62" s="13">
        <v>5</v>
      </c>
      <c r="I62" s="13">
        <v>5</v>
      </c>
      <c r="J62" s="15">
        <v>4</v>
      </c>
      <c r="K62" s="2">
        <f>SUM(F60:F62)</f>
        <v>480</v>
      </c>
      <c r="L62" s="2">
        <f t="shared" ref="L62:O62" si="7">SUM(G60:G62)</f>
        <v>81</v>
      </c>
      <c r="M62" s="2">
        <f t="shared" si="7"/>
        <v>25</v>
      </c>
      <c r="N62" s="2">
        <f t="shared" si="7"/>
        <v>16</v>
      </c>
      <c r="O62" s="2">
        <f t="shared" si="7"/>
        <v>8</v>
      </c>
    </row>
    <row r="63" spans="1:15" x14ac:dyDescent="0.35">
      <c r="A63" s="6" t="s">
        <v>448</v>
      </c>
      <c r="B63" s="6" t="s">
        <v>911</v>
      </c>
      <c r="C63" s="6">
        <v>1007</v>
      </c>
      <c r="D63" s="16" t="s">
        <v>44</v>
      </c>
      <c r="E63" s="17" t="s">
        <v>2</v>
      </c>
      <c r="F63" s="13">
        <v>180</v>
      </c>
      <c r="G63" s="13">
        <v>45</v>
      </c>
      <c r="H63" s="13">
        <v>10</v>
      </c>
      <c r="I63" s="13">
        <v>7</v>
      </c>
      <c r="J63" s="15">
        <v>0</v>
      </c>
    </row>
    <row r="64" spans="1:15" x14ac:dyDescent="0.35">
      <c r="A64" s="73"/>
      <c r="B64" s="73"/>
      <c r="C64" s="73"/>
      <c r="D64" s="16" t="s">
        <v>44</v>
      </c>
      <c r="E64" s="17" t="s">
        <v>4</v>
      </c>
      <c r="F64" s="13">
        <v>149</v>
      </c>
      <c r="G64" s="13">
        <v>27</v>
      </c>
      <c r="H64" s="13">
        <v>6</v>
      </c>
      <c r="I64" s="13">
        <v>4</v>
      </c>
      <c r="J64" s="13">
        <v>2</v>
      </c>
    </row>
    <row r="65" spans="1:15" x14ac:dyDescent="0.35">
      <c r="A65" s="73"/>
      <c r="B65" s="73"/>
      <c r="C65" s="73"/>
      <c r="D65" s="16" t="s">
        <v>44</v>
      </c>
      <c r="E65" s="17" t="s">
        <v>6</v>
      </c>
      <c r="F65" s="13">
        <v>156</v>
      </c>
      <c r="G65" s="13">
        <v>5</v>
      </c>
      <c r="H65" s="13">
        <v>2</v>
      </c>
      <c r="I65" s="13">
        <v>2</v>
      </c>
      <c r="J65" s="13">
        <v>1</v>
      </c>
      <c r="K65" s="2">
        <f>SUM(F63:F65)</f>
        <v>485</v>
      </c>
      <c r="L65" s="2">
        <f t="shared" ref="L65:O65" si="8">SUM(G63:G65)</f>
        <v>77</v>
      </c>
      <c r="M65" s="2">
        <f t="shared" si="8"/>
        <v>18</v>
      </c>
      <c r="N65" s="2">
        <f t="shared" si="8"/>
        <v>13</v>
      </c>
      <c r="O65" s="2">
        <f t="shared" si="8"/>
        <v>3</v>
      </c>
    </row>
    <row r="66" spans="1:15" x14ac:dyDescent="0.35">
      <c r="A66" s="3" t="s">
        <v>449</v>
      </c>
      <c r="B66" s="3" t="s">
        <v>450</v>
      </c>
      <c r="C66" s="3">
        <v>1641</v>
      </c>
      <c r="D66" s="16" t="s">
        <v>45</v>
      </c>
      <c r="E66" s="17" t="s">
        <v>17</v>
      </c>
      <c r="F66" s="12">
        <v>103</v>
      </c>
      <c r="G66" s="12">
        <v>33</v>
      </c>
      <c r="H66" s="12">
        <v>4</v>
      </c>
      <c r="I66" s="14">
        <v>0</v>
      </c>
      <c r="J66" s="14">
        <v>0</v>
      </c>
    </row>
    <row r="67" spans="1:15" x14ac:dyDescent="0.35">
      <c r="A67" s="79"/>
      <c r="B67" s="79"/>
      <c r="C67" s="79"/>
      <c r="D67" s="16" t="s">
        <v>45</v>
      </c>
      <c r="E67" s="17" t="s">
        <v>2</v>
      </c>
      <c r="F67" s="12">
        <v>99</v>
      </c>
      <c r="G67" s="12">
        <v>44</v>
      </c>
      <c r="H67" s="12">
        <v>10</v>
      </c>
      <c r="I67" s="12">
        <v>5</v>
      </c>
      <c r="J67" s="14">
        <v>1</v>
      </c>
    </row>
    <row r="68" spans="1:15" x14ac:dyDescent="0.35">
      <c r="A68" s="79"/>
      <c r="B68" s="79"/>
      <c r="C68" s="79"/>
      <c r="D68" s="16" t="s">
        <v>45</v>
      </c>
      <c r="E68" s="17" t="s">
        <v>3</v>
      </c>
      <c r="F68" s="12">
        <v>95</v>
      </c>
      <c r="G68" s="12">
        <v>48</v>
      </c>
      <c r="H68" s="12">
        <v>2</v>
      </c>
      <c r="I68" s="12">
        <v>5</v>
      </c>
      <c r="J68" s="14">
        <v>0</v>
      </c>
    </row>
    <row r="69" spans="1:15" x14ac:dyDescent="0.35">
      <c r="A69" s="79"/>
      <c r="B69" s="79"/>
      <c r="C69" s="79"/>
      <c r="D69" s="16" t="s">
        <v>45</v>
      </c>
      <c r="E69" s="17" t="s">
        <v>4</v>
      </c>
      <c r="F69" s="12">
        <v>98</v>
      </c>
      <c r="G69" s="12">
        <v>37</v>
      </c>
      <c r="H69" s="12">
        <v>4</v>
      </c>
      <c r="I69" s="12">
        <v>5</v>
      </c>
      <c r="J69" s="14">
        <v>2</v>
      </c>
    </row>
    <row r="70" spans="1:15" x14ac:dyDescent="0.35">
      <c r="A70" s="79"/>
      <c r="B70" s="79"/>
      <c r="C70" s="79"/>
      <c r="D70" s="16" t="s">
        <v>45</v>
      </c>
      <c r="E70" s="17" t="s">
        <v>5</v>
      </c>
      <c r="F70" s="12">
        <v>288</v>
      </c>
      <c r="G70" s="12">
        <v>13</v>
      </c>
      <c r="H70" s="12">
        <v>3</v>
      </c>
      <c r="I70" s="12">
        <v>5</v>
      </c>
      <c r="J70" s="14">
        <v>2</v>
      </c>
    </row>
    <row r="71" spans="1:15" x14ac:dyDescent="0.35">
      <c r="A71" s="79"/>
      <c r="B71" s="79"/>
      <c r="C71" s="79"/>
      <c r="D71" s="16" t="s">
        <v>45</v>
      </c>
      <c r="E71" s="17" t="s">
        <v>6</v>
      </c>
      <c r="F71" s="12">
        <v>42</v>
      </c>
      <c r="G71" s="12">
        <v>8</v>
      </c>
      <c r="H71" s="12">
        <v>4</v>
      </c>
      <c r="I71" s="12">
        <v>1</v>
      </c>
      <c r="J71" s="14">
        <v>0</v>
      </c>
    </row>
    <row r="72" spans="1:15" x14ac:dyDescent="0.35">
      <c r="A72" s="79"/>
      <c r="B72" s="79"/>
      <c r="C72" s="79"/>
      <c r="D72" s="16" t="s">
        <v>45</v>
      </c>
      <c r="E72" s="17" t="s">
        <v>7</v>
      </c>
      <c r="F72" s="12">
        <v>70</v>
      </c>
      <c r="G72" s="12">
        <v>8</v>
      </c>
      <c r="H72" s="14">
        <v>0</v>
      </c>
      <c r="I72" s="12">
        <v>2</v>
      </c>
      <c r="J72" s="14">
        <v>1</v>
      </c>
    </row>
    <row r="73" spans="1:15" x14ac:dyDescent="0.35">
      <c r="A73" s="79"/>
      <c r="B73" s="79"/>
      <c r="C73" s="79"/>
      <c r="D73" s="16" t="s">
        <v>45</v>
      </c>
      <c r="E73" s="17" t="s">
        <v>8</v>
      </c>
      <c r="F73" s="12">
        <v>75</v>
      </c>
      <c r="G73" s="12">
        <v>15</v>
      </c>
      <c r="H73" s="14">
        <v>0</v>
      </c>
      <c r="I73" s="12">
        <v>7</v>
      </c>
      <c r="J73" s="14">
        <v>0</v>
      </c>
      <c r="K73" s="2">
        <f>SUM(F66:F73)</f>
        <v>870</v>
      </c>
      <c r="L73" s="2">
        <f t="shared" ref="L73:O73" si="9">SUM(G66:G73)</f>
        <v>206</v>
      </c>
      <c r="M73" s="2">
        <f t="shared" si="9"/>
        <v>27</v>
      </c>
      <c r="N73" s="2">
        <f t="shared" si="9"/>
        <v>30</v>
      </c>
      <c r="O73" s="2">
        <f t="shared" si="9"/>
        <v>6</v>
      </c>
    </row>
    <row r="74" spans="1:15" x14ac:dyDescent="0.35">
      <c r="A74" s="6" t="s">
        <v>451</v>
      </c>
      <c r="B74" s="6" t="s">
        <v>452</v>
      </c>
      <c r="C74" s="6">
        <v>2447</v>
      </c>
      <c r="D74" s="16" t="s">
        <v>46</v>
      </c>
      <c r="E74" s="17" t="s">
        <v>17</v>
      </c>
      <c r="F74" s="13">
        <v>73</v>
      </c>
      <c r="G74" s="13">
        <v>3</v>
      </c>
      <c r="H74" s="13">
        <v>2</v>
      </c>
      <c r="I74" s="13">
        <v>1</v>
      </c>
      <c r="J74" s="15">
        <v>2</v>
      </c>
    </row>
    <row r="75" spans="1:15" x14ac:dyDescent="0.35">
      <c r="A75" s="73"/>
      <c r="B75" s="73"/>
      <c r="C75" s="73"/>
      <c r="D75" s="16" t="s">
        <v>46</v>
      </c>
      <c r="E75" s="17" t="s">
        <v>2</v>
      </c>
      <c r="F75" s="13">
        <v>152</v>
      </c>
      <c r="G75" s="13">
        <v>48</v>
      </c>
      <c r="H75" s="13">
        <v>11</v>
      </c>
      <c r="I75" s="13">
        <v>8</v>
      </c>
      <c r="J75" s="13">
        <v>0</v>
      </c>
    </row>
    <row r="76" spans="1:15" x14ac:dyDescent="0.35">
      <c r="A76" s="73"/>
      <c r="B76" s="73"/>
      <c r="C76" s="73"/>
      <c r="D76" s="16" t="s">
        <v>46</v>
      </c>
      <c r="E76" s="17" t="s">
        <v>3</v>
      </c>
      <c r="F76" s="13">
        <v>119</v>
      </c>
      <c r="G76" s="13">
        <v>28</v>
      </c>
      <c r="H76" s="13">
        <v>3</v>
      </c>
      <c r="I76" s="13">
        <v>2</v>
      </c>
      <c r="J76" s="15">
        <v>0</v>
      </c>
    </row>
    <row r="77" spans="1:15" x14ac:dyDescent="0.35">
      <c r="A77" s="73"/>
      <c r="B77" s="73"/>
      <c r="C77" s="73"/>
      <c r="D77" s="16" t="s">
        <v>46</v>
      </c>
      <c r="E77" s="17" t="s">
        <v>4</v>
      </c>
      <c r="F77" s="13">
        <v>104</v>
      </c>
      <c r="G77" s="13">
        <v>33</v>
      </c>
      <c r="H77" s="15">
        <v>0</v>
      </c>
      <c r="I77" s="13">
        <v>7</v>
      </c>
      <c r="J77" s="15">
        <v>1</v>
      </c>
    </row>
    <row r="78" spans="1:15" x14ac:dyDescent="0.35">
      <c r="A78" s="73"/>
      <c r="B78" s="73"/>
      <c r="C78" s="73"/>
      <c r="D78" s="16" t="s">
        <v>46</v>
      </c>
      <c r="E78" s="17" t="s">
        <v>5</v>
      </c>
      <c r="F78" s="13">
        <v>75</v>
      </c>
      <c r="G78" s="13">
        <v>11</v>
      </c>
      <c r="H78" s="13">
        <v>1</v>
      </c>
      <c r="I78" s="13">
        <v>3</v>
      </c>
      <c r="J78" s="15">
        <v>3</v>
      </c>
    </row>
    <row r="79" spans="1:15" x14ac:dyDescent="0.35">
      <c r="A79" s="73"/>
      <c r="B79" s="73"/>
      <c r="C79" s="73"/>
      <c r="D79" s="16" t="s">
        <v>46</v>
      </c>
      <c r="E79" s="17" t="s">
        <v>6</v>
      </c>
      <c r="F79" s="13">
        <v>177</v>
      </c>
      <c r="G79" s="13">
        <v>34</v>
      </c>
      <c r="H79" s="13">
        <v>6</v>
      </c>
      <c r="I79" s="13">
        <v>4</v>
      </c>
      <c r="J79" s="15">
        <v>0</v>
      </c>
    </row>
    <row r="80" spans="1:15" x14ac:dyDescent="0.35">
      <c r="A80" s="73"/>
      <c r="B80" s="73"/>
      <c r="C80" s="73"/>
      <c r="D80" s="16" t="s">
        <v>46</v>
      </c>
      <c r="E80" s="17" t="s">
        <v>7</v>
      </c>
      <c r="F80" s="13">
        <v>197</v>
      </c>
      <c r="G80" s="13">
        <v>37</v>
      </c>
      <c r="H80" s="13">
        <v>1</v>
      </c>
      <c r="I80" s="13">
        <v>10</v>
      </c>
      <c r="J80" s="15">
        <v>2</v>
      </c>
    </row>
    <row r="81" spans="1:15" x14ac:dyDescent="0.35">
      <c r="A81" s="73"/>
      <c r="B81" s="73"/>
      <c r="C81" s="73"/>
      <c r="D81" s="16" t="s">
        <v>46</v>
      </c>
      <c r="E81" s="17" t="s">
        <v>8</v>
      </c>
      <c r="F81" s="13">
        <v>135</v>
      </c>
      <c r="G81" s="13">
        <v>101</v>
      </c>
      <c r="H81" s="13">
        <v>11</v>
      </c>
      <c r="I81" s="13">
        <v>5</v>
      </c>
      <c r="J81" s="15">
        <v>1</v>
      </c>
    </row>
    <row r="82" spans="1:15" x14ac:dyDescent="0.35">
      <c r="A82" s="73"/>
      <c r="B82" s="73"/>
      <c r="C82" s="73"/>
      <c r="D82" s="16" t="s">
        <v>46</v>
      </c>
      <c r="E82" s="17" t="s">
        <v>12</v>
      </c>
      <c r="F82" s="13">
        <v>182</v>
      </c>
      <c r="G82" s="13">
        <v>45</v>
      </c>
      <c r="H82" s="13">
        <v>3</v>
      </c>
      <c r="I82" s="13">
        <v>8</v>
      </c>
      <c r="J82" s="13">
        <v>1</v>
      </c>
    </row>
    <row r="83" spans="1:15" x14ac:dyDescent="0.35">
      <c r="A83" s="73"/>
      <c r="B83" s="73"/>
      <c r="C83" s="73"/>
      <c r="D83" s="16" t="s">
        <v>46</v>
      </c>
      <c r="E83" s="17" t="s">
        <v>13</v>
      </c>
      <c r="F83" s="13">
        <v>115</v>
      </c>
      <c r="G83" s="13">
        <v>19</v>
      </c>
      <c r="H83" s="15">
        <v>0</v>
      </c>
      <c r="I83" s="13">
        <v>2</v>
      </c>
      <c r="J83" s="15">
        <v>0</v>
      </c>
      <c r="K83" s="2">
        <f>SUM(F74:F83)</f>
        <v>1329</v>
      </c>
      <c r="L83" s="2">
        <f t="shared" ref="L83:O83" si="10">SUM(G74:G83)</f>
        <v>359</v>
      </c>
      <c r="M83" s="2">
        <f t="shared" si="10"/>
        <v>38</v>
      </c>
      <c r="N83" s="2">
        <f t="shared" si="10"/>
        <v>50</v>
      </c>
      <c r="O83" s="2">
        <f t="shared" si="10"/>
        <v>10</v>
      </c>
    </row>
    <row r="84" spans="1:15" x14ac:dyDescent="0.35">
      <c r="A84" s="3" t="s">
        <v>453</v>
      </c>
      <c r="B84" s="3" t="s">
        <v>454</v>
      </c>
      <c r="C84" s="3">
        <v>2180</v>
      </c>
      <c r="D84" s="16" t="s">
        <v>47</v>
      </c>
      <c r="E84" s="17" t="s">
        <v>17</v>
      </c>
      <c r="F84" s="12">
        <v>211</v>
      </c>
      <c r="G84" s="12">
        <v>72</v>
      </c>
      <c r="H84" s="12">
        <v>22</v>
      </c>
      <c r="I84" s="12">
        <v>16</v>
      </c>
      <c r="J84" s="14">
        <v>2</v>
      </c>
    </row>
    <row r="85" spans="1:15" x14ac:dyDescent="0.35">
      <c r="A85" s="79"/>
      <c r="B85" s="79"/>
      <c r="C85" s="79"/>
      <c r="D85" s="16" t="s">
        <v>47</v>
      </c>
      <c r="E85" s="17" t="s">
        <v>2</v>
      </c>
      <c r="F85" s="12">
        <v>136</v>
      </c>
      <c r="G85" s="12">
        <v>52</v>
      </c>
      <c r="H85" s="12">
        <v>6</v>
      </c>
      <c r="I85" s="12">
        <v>6</v>
      </c>
      <c r="J85" s="14">
        <v>1</v>
      </c>
    </row>
    <row r="86" spans="1:15" x14ac:dyDescent="0.35">
      <c r="A86" s="79"/>
      <c r="B86" s="79"/>
      <c r="C86" s="79"/>
      <c r="D86" s="16" t="s">
        <v>47</v>
      </c>
      <c r="E86" s="17" t="s">
        <v>3</v>
      </c>
      <c r="F86" s="12">
        <v>128</v>
      </c>
      <c r="G86" s="12">
        <v>15</v>
      </c>
      <c r="H86" s="12">
        <v>2</v>
      </c>
      <c r="I86" s="12">
        <v>1</v>
      </c>
      <c r="J86" s="14">
        <v>1</v>
      </c>
    </row>
    <row r="87" spans="1:15" x14ac:dyDescent="0.35">
      <c r="A87" s="79"/>
      <c r="B87" s="79"/>
      <c r="C87" s="79"/>
      <c r="D87" s="16" t="s">
        <v>47</v>
      </c>
      <c r="E87" s="17" t="s">
        <v>4</v>
      </c>
      <c r="F87" s="12">
        <v>76</v>
      </c>
      <c r="G87" s="12">
        <v>17</v>
      </c>
      <c r="H87" s="12">
        <v>1</v>
      </c>
      <c r="I87" s="12">
        <v>8</v>
      </c>
      <c r="J87" s="14">
        <v>1</v>
      </c>
    </row>
    <row r="88" spans="1:15" x14ac:dyDescent="0.35">
      <c r="A88" s="79"/>
      <c r="B88" s="79"/>
      <c r="C88" s="79"/>
      <c r="D88" s="16" t="s">
        <v>47</v>
      </c>
      <c r="E88" s="17" t="s">
        <v>5</v>
      </c>
      <c r="F88" s="12">
        <v>64</v>
      </c>
      <c r="G88" s="12">
        <v>42</v>
      </c>
      <c r="H88" s="12">
        <v>7</v>
      </c>
      <c r="I88" s="12">
        <v>3</v>
      </c>
      <c r="J88" s="12">
        <v>1</v>
      </c>
    </row>
    <row r="89" spans="1:15" x14ac:dyDescent="0.35">
      <c r="A89" s="79"/>
      <c r="B89" s="79"/>
      <c r="C89" s="79"/>
      <c r="D89" s="16" t="s">
        <v>47</v>
      </c>
      <c r="E89" s="17" t="s">
        <v>6</v>
      </c>
      <c r="F89" s="12">
        <v>225</v>
      </c>
      <c r="G89" s="12">
        <v>41</v>
      </c>
      <c r="H89" s="12">
        <v>1</v>
      </c>
      <c r="I89" s="12">
        <v>10</v>
      </c>
      <c r="J89" s="12">
        <v>0</v>
      </c>
    </row>
    <row r="90" spans="1:15" x14ac:dyDescent="0.35">
      <c r="A90" s="79"/>
      <c r="B90" s="79"/>
      <c r="C90" s="79"/>
      <c r="D90" s="16" t="s">
        <v>47</v>
      </c>
      <c r="E90" s="17" t="s">
        <v>7</v>
      </c>
      <c r="F90" s="12">
        <v>103</v>
      </c>
      <c r="G90" s="12">
        <v>14</v>
      </c>
      <c r="H90" s="12">
        <v>2</v>
      </c>
      <c r="I90" s="12">
        <v>1</v>
      </c>
      <c r="J90" s="14">
        <v>2</v>
      </c>
    </row>
    <row r="91" spans="1:15" x14ac:dyDescent="0.35">
      <c r="A91" s="79"/>
      <c r="B91" s="79"/>
      <c r="C91" s="79"/>
      <c r="D91" s="16" t="s">
        <v>47</v>
      </c>
      <c r="E91" s="17" t="s">
        <v>8</v>
      </c>
      <c r="F91" s="12">
        <v>48</v>
      </c>
      <c r="G91" s="12">
        <v>9</v>
      </c>
      <c r="H91" s="12">
        <v>4</v>
      </c>
      <c r="I91" s="12">
        <v>1</v>
      </c>
      <c r="J91" s="14">
        <v>0</v>
      </c>
    </row>
    <row r="92" spans="1:15" x14ac:dyDescent="0.35">
      <c r="A92" s="79"/>
      <c r="B92" s="79"/>
      <c r="C92" s="79"/>
      <c r="D92" s="16" t="s">
        <v>47</v>
      </c>
      <c r="E92" s="17" t="s">
        <v>9</v>
      </c>
      <c r="F92" s="12">
        <v>40</v>
      </c>
      <c r="G92" s="12">
        <v>6</v>
      </c>
      <c r="H92" s="12">
        <v>4</v>
      </c>
      <c r="I92" s="12">
        <v>1</v>
      </c>
      <c r="J92" s="12">
        <v>1</v>
      </c>
      <c r="K92" s="2">
        <f>SUM(F84:F92)</f>
        <v>1031</v>
      </c>
      <c r="L92" s="2">
        <f t="shared" ref="L92:O92" si="11">SUM(G84:G92)</f>
        <v>268</v>
      </c>
      <c r="M92" s="2">
        <f t="shared" si="11"/>
        <v>49</v>
      </c>
      <c r="N92" s="2">
        <f t="shared" si="11"/>
        <v>47</v>
      </c>
      <c r="O92" s="2">
        <f t="shared" si="11"/>
        <v>9</v>
      </c>
    </row>
    <row r="93" spans="1:15" x14ac:dyDescent="0.35">
      <c r="A93" s="80"/>
      <c r="B93" s="82" t="s">
        <v>721</v>
      </c>
      <c r="C93" s="82">
        <f>SUM(C5:C84)</f>
        <v>28212</v>
      </c>
      <c r="D93" s="335" t="s">
        <v>229</v>
      </c>
      <c r="E93" s="335"/>
      <c r="F93" s="20">
        <f>SUM(F5:F92)</f>
        <v>13696</v>
      </c>
      <c r="G93" s="20">
        <f>SUM(G5:G92)</f>
        <v>3351</v>
      </c>
      <c r="H93" s="20">
        <f>SUM(H5:H92)</f>
        <v>635</v>
      </c>
      <c r="I93" s="20">
        <f>SUM(I5:I92)</f>
        <v>584</v>
      </c>
      <c r="J93" s="20">
        <f>SUM(J5:J92)</f>
        <v>99</v>
      </c>
    </row>
    <row r="94" spans="1:15" x14ac:dyDescent="0.35">
      <c r="B94" s="18" t="s">
        <v>722</v>
      </c>
      <c r="C94" s="81">
        <f>SUM(C93,F93,G93,H93,I93,J93)</f>
        <v>46577</v>
      </c>
    </row>
  </sheetData>
  <mergeCells count="6">
    <mergeCell ref="D93:E93"/>
    <mergeCell ref="D1:J1"/>
    <mergeCell ref="D2:J2"/>
    <mergeCell ref="A1:C1"/>
    <mergeCell ref="A2:C2"/>
    <mergeCell ref="F3:J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  <pageSetUpPr fitToPage="1"/>
  </sheetPr>
  <dimension ref="A1:U224"/>
  <sheetViews>
    <sheetView workbookViewId="0"/>
  </sheetViews>
  <sheetFormatPr defaultRowHeight="12.75" x14ac:dyDescent="0.2"/>
  <cols>
    <col min="1" max="1" width="9.42578125" style="182" customWidth="1"/>
    <col min="2" max="2" width="14.7109375" style="182" customWidth="1"/>
    <col min="3" max="3" width="37.28515625" style="182" bestFit="1" customWidth="1"/>
    <col min="4" max="4" width="19.42578125" style="173" bestFit="1" customWidth="1"/>
    <col min="5" max="6" width="12.42578125" style="173" bestFit="1" customWidth="1"/>
    <col min="7" max="7" width="10.85546875" style="173" bestFit="1" customWidth="1"/>
    <col min="8" max="8" width="18.7109375" style="173" bestFit="1" customWidth="1"/>
    <col min="9" max="9" width="12" style="173" bestFit="1" customWidth="1"/>
    <col min="10" max="10" width="13.5703125" style="173" customWidth="1"/>
    <col min="11" max="13" width="10.5703125" style="183" customWidth="1"/>
    <col min="14" max="16" width="12.140625" style="210" customWidth="1"/>
    <col min="17" max="17" width="19" style="182" customWidth="1"/>
    <col min="18" max="18" width="18.5703125" style="174" customWidth="1"/>
    <col min="19" max="19" width="14.5703125" style="182" customWidth="1"/>
    <col min="20" max="20" width="12.42578125" style="182" bestFit="1" customWidth="1"/>
    <col min="21" max="21" width="11.85546875" style="182" bestFit="1" customWidth="1"/>
    <col min="22" max="16384" width="9.140625" style="182"/>
  </cols>
  <sheetData>
    <row r="1" spans="1:20" ht="21" x14ac:dyDescent="0.35">
      <c r="L1" s="397" t="s">
        <v>893</v>
      </c>
      <c r="M1" s="397"/>
      <c r="N1" s="397"/>
      <c r="O1" s="397"/>
      <c r="P1" s="398"/>
      <c r="S1" s="184" t="s">
        <v>864</v>
      </c>
      <c r="T1" s="175">
        <v>300000</v>
      </c>
    </row>
    <row r="2" spans="1:20" s="184" customFormat="1" ht="21.75" customHeight="1" x14ac:dyDescent="0.35">
      <c r="B2" s="387" t="s">
        <v>714</v>
      </c>
      <c r="C2" s="387" t="s">
        <v>254</v>
      </c>
      <c r="D2" s="389" t="s">
        <v>715</v>
      </c>
      <c r="E2" s="391" t="s">
        <v>218</v>
      </c>
      <c r="F2" s="391" t="s">
        <v>219</v>
      </c>
      <c r="G2" s="391" t="s">
        <v>220</v>
      </c>
      <c r="H2" s="393" t="s">
        <v>865</v>
      </c>
      <c r="I2" s="391" t="s">
        <v>221</v>
      </c>
      <c r="J2" s="395" t="s">
        <v>866</v>
      </c>
      <c r="K2" s="380" t="s">
        <v>881</v>
      </c>
      <c r="L2" s="226" t="s">
        <v>891</v>
      </c>
      <c r="M2" s="226" t="s">
        <v>892</v>
      </c>
      <c r="N2" s="185" t="s">
        <v>867</v>
      </c>
      <c r="O2" s="186" t="s">
        <v>868</v>
      </c>
      <c r="P2" s="187" t="s">
        <v>869</v>
      </c>
      <c r="Q2" s="382" t="s">
        <v>877</v>
      </c>
      <c r="R2" s="384" t="s">
        <v>870</v>
      </c>
      <c r="S2" s="184" t="s">
        <v>871</v>
      </c>
      <c r="T2" s="175">
        <v>330000</v>
      </c>
    </row>
    <row r="3" spans="1:20" s="184" customFormat="1" ht="21.75" customHeight="1" x14ac:dyDescent="0.35">
      <c r="A3" s="184" t="s">
        <v>872</v>
      </c>
      <c r="B3" s="388"/>
      <c r="C3" s="388"/>
      <c r="D3" s="390"/>
      <c r="E3" s="392"/>
      <c r="F3" s="392"/>
      <c r="G3" s="392"/>
      <c r="H3" s="394"/>
      <c r="I3" s="392"/>
      <c r="J3" s="396"/>
      <c r="K3" s="381"/>
      <c r="L3" s="227"/>
      <c r="M3" s="227"/>
      <c r="N3" s="176">
        <v>3000</v>
      </c>
      <c r="O3" s="177" t="s">
        <v>873</v>
      </c>
      <c r="P3" s="178" t="s">
        <v>874</v>
      </c>
      <c r="Q3" s="383"/>
      <c r="R3" s="385"/>
      <c r="S3" s="184" t="s">
        <v>875</v>
      </c>
      <c r="T3" s="175">
        <v>360000</v>
      </c>
    </row>
    <row r="4" spans="1:20" s="188" customFormat="1" ht="21.75" customHeight="1" x14ac:dyDescent="0.35">
      <c r="A4" s="188">
        <v>1</v>
      </c>
      <c r="B4" s="228">
        <v>2</v>
      </c>
      <c r="C4" s="188">
        <v>3</v>
      </c>
      <c r="D4" s="228">
        <v>4</v>
      </c>
      <c r="E4" s="188">
        <v>5</v>
      </c>
      <c r="F4" s="228">
        <v>6</v>
      </c>
      <c r="G4" s="188">
        <v>7</v>
      </c>
      <c r="H4" s="228">
        <v>8</v>
      </c>
      <c r="I4" s="188">
        <v>9</v>
      </c>
      <c r="J4" s="228">
        <v>10</v>
      </c>
      <c r="K4" s="188">
        <v>11</v>
      </c>
      <c r="N4" s="228">
        <v>12</v>
      </c>
      <c r="O4" s="188">
        <v>13</v>
      </c>
      <c r="P4" s="228">
        <v>14</v>
      </c>
      <c r="Q4" s="188">
        <v>15</v>
      </c>
      <c r="R4" s="188">
        <v>16</v>
      </c>
      <c r="S4" s="188" t="s">
        <v>876</v>
      </c>
    </row>
    <row r="5" spans="1:20" s="184" customFormat="1" ht="21.75" customHeight="1" x14ac:dyDescent="0.35">
      <c r="A5" s="184">
        <v>10660</v>
      </c>
      <c r="B5" s="189" t="s">
        <v>258</v>
      </c>
      <c r="C5" s="189" t="s">
        <v>259</v>
      </c>
      <c r="D5" s="68">
        <v>5024</v>
      </c>
      <c r="E5" s="229">
        <v>2158</v>
      </c>
      <c r="F5" s="229">
        <v>1086</v>
      </c>
      <c r="G5" s="229">
        <v>88</v>
      </c>
      <c r="H5" s="230">
        <v>140</v>
      </c>
      <c r="I5" s="229">
        <v>49</v>
      </c>
      <c r="J5" s="180">
        <f t="shared" ref="J5:J68" si="0">SUM(D5:I5)</f>
        <v>8545</v>
      </c>
      <c r="K5" s="190" t="str">
        <f t="shared" ref="K5:K68" si="1">VLOOKUP(J5,$P$212:$Q$217,2)</f>
        <v>L</v>
      </c>
      <c r="L5" s="190"/>
      <c r="M5" s="190"/>
      <c r="N5" s="191"/>
      <c r="O5" s="191"/>
      <c r="P5" s="191"/>
      <c r="Q5" s="181">
        <f t="shared" ref="Q5:Q68" si="2">VLOOKUP(J5,$P$219:$Q$224,2)</f>
        <v>360000</v>
      </c>
      <c r="R5" s="175">
        <f>VLOOKUP(J5,$P$219:$Q$224,2)</f>
        <v>360000</v>
      </c>
      <c r="S5" s="192">
        <f>+R5*100/Q5</f>
        <v>100</v>
      </c>
    </row>
    <row r="6" spans="1:20" s="184" customFormat="1" ht="21.75" customHeight="1" x14ac:dyDescent="0.35">
      <c r="A6" s="184">
        <v>10660</v>
      </c>
      <c r="B6" s="189" t="s">
        <v>260</v>
      </c>
      <c r="C6" s="189" t="s">
        <v>261</v>
      </c>
      <c r="D6" s="68">
        <v>4383</v>
      </c>
      <c r="E6" s="179">
        <v>1938</v>
      </c>
      <c r="F6" s="179">
        <v>732</v>
      </c>
      <c r="G6" s="179">
        <v>64</v>
      </c>
      <c r="H6" s="179">
        <v>87</v>
      </c>
      <c r="I6" s="179">
        <v>12</v>
      </c>
      <c r="J6" s="180">
        <f t="shared" si="0"/>
        <v>7216</v>
      </c>
      <c r="K6" s="190" t="str">
        <f t="shared" si="1"/>
        <v>M</v>
      </c>
      <c r="L6" s="190"/>
      <c r="M6" s="190"/>
      <c r="N6" s="191"/>
      <c r="O6" s="191"/>
      <c r="P6" s="191"/>
      <c r="Q6" s="181">
        <f t="shared" si="2"/>
        <v>330000</v>
      </c>
      <c r="R6" s="175">
        <f>VLOOKUP(J6,$P$219:$Q$224,2)</f>
        <v>330000</v>
      </c>
      <c r="S6" s="192"/>
    </row>
    <row r="7" spans="1:20" s="184" customFormat="1" ht="21.75" customHeight="1" x14ac:dyDescent="0.35">
      <c r="A7" s="184">
        <v>10660</v>
      </c>
      <c r="B7" s="193" t="s">
        <v>262</v>
      </c>
      <c r="C7" s="193" t="s">
        <v>263</v>
      </c>
      <c r="D7" s="65">
        <v>3924</v>
      </c>
      <c r="E7" s="179">
        <v>1500</v>
      </c>
      <c r="F7" s="179">
        <v>557</v>
      </c>
      <c r="G7" s="179">
        <v>60</v>
      </c>
      <c r="H7" s="179">
        <v>96</v>
      </c>
      <c r="I7" s="179">
        <v>4</v>
      </c>
      <c r="J7" s="180">
        <f t="shared" si="0"/>
        <v>6141</v>
      </c>
      <c r="K7" s="190" t="str">
        <f t="shared" si="1"/>
        <v>M</v>
      </c>
      <c r="L7" s="190"/>
      <c r="M7" s="190"/>
      <c r="N7" s="191"/>
      <c r="O7" s="191"/>
      <c r="P7" s="191"/>
      <c r="Q7" s="181">
        <f t="shared" si="2"/>
        <v>330000</v>
      </c>
      <c r="R7" s="175">
        <f t="shared" ref="R7:R70" si="3">VLOOKUP(J7,$P$219:$Q$224,2)</f>
        <v>330000</v>
      </c>
      <c r="S7" s="192"/>
    </row>
    <row r="8" spans="1:20" s="184" customFormat="1" ht="21.75" customHeight="1" x14ac:dyDescent="0.35">
      <c r="A8" s="184">
        <v>10660</v>
      </c>
      <c r="B8" s="189" t="s">
        <v>264</v>
      </c>
      <c r="C8" s="189" t="s">
        <v>265</v>
      </c>
      <c r="D8" s="68">
        <v>1972</v>
      </c>
      <c r="E8" s="179">
        <v>605</v>
      </c>
      <c r="F8" s="179">
        <v>162</v>
      </c>
      <c r="G8" s="179">
        <v>16</v>
      </c>
      <c r="H8" s="179">
        <v>25</v>
      </c>
      <c r="I8" s="179">
        <v>7</v>
      </c>
      <c r="J8" s="180">
        <f t="shared" si="0"/>
        <v>2787</v>
      </c>
      <c r="K8" s="190" t="str">
        <f t="shared" si="1"/>
        <v>S</v>
      </c>
      <c r="L8" s="190"/>
      <c r="M8" s="190"/>
      <c r="N8" s="191"/>
      <c r="O8" s="191"/>
      <c r="P8" s="191"/>
      <c r="Q8" s="181">
        <f t="shared" si="2"/>
        <v>300000</v>
      </c>
      <c r="R8" s="175">
        <f t="shared" si="3"/>
        <v>300000</v>
      </c>
      <c r="S8" s="192"/>
    </row>
    <row r="9" spans="1:20" s="184" customFormat="1" ht="21.75" customHeight="1" x14ac:dyDescent="0.35">
      <c r="A9" s="184">
        <v>10660</v>
      </c>
      <c r="B9" s="193" t="s">
        <v>266</v>
      </c>
      <c r="C9" s="193" t="s">
        <v>267</v>
      </c>
      <c r="D9" s="65">
        <v>4592</v>
      </c>
      <c r="E9" s="179">
        <v>1732</v>
      </c>
      <c r="F9" s="179">
        <v>399</v>
      </c>
      <c r="G9" s="179">
        <v>72</v>
      </c>
      <c r="H9" s="179">
        <v>91</v>
      </c>
      <c r="I9" s="179">
        <v>13</v>
      </c>
      <c r="J9" s="180">
        <f t="shared" si="0"/>
        <v>6899</v>
      </c>
      <c r="K9" s="190" t="str">
        <f t="shared" si="1"/>
        <v>M</v>
      </c>
      <c r="L9" s="190"/>
      <c r="M9" s="190"/>
      <c r="N9" s="191"/>
      <c r="O9" s="191"/>
      <c r="P9" s="191"/>
      <c r="Q9" s="181">
        <f t="shared" si="2"/>
        <v>330000</v>
      </c>
      <c r="R9" s="175">
        <f t="shared" si="3"/>
        <v>330000</v>
      </c>
      <c r="S9" s="192"/>
    </row>
    <row r="10" spans="1:20" s="184" customFormat="1" ht="21.75" customHeight="1" x14ac:dyDescent="0.35">
      <c r="A10" s="184">
        <v>10660</v>
      </c>
      <c r="B10" s="189" t="s">
        <v>268</v>
      </c>
      <c r="C10" s="189" t="s">
        <v>269</v>
      </c>
      <c r="D10" s="68">
        <v>1723</v>
      </c>
      <c r="E10" s="235">
        <v>629</v>
      </c>
      <c r="F10" s="235">
        <v>189</v>
      </c>
      <c r="G10" s="235">
        <v>8</v>
      </c>
      <c r="H10" s="236">
        <v>22</v>
      </c>
      <c r="I10" s="236">
        <v>2</v>
      </c>
      <c r="J10" s="180">
        <f t="shared" si="0"/>
        <v>2573</v>
      </c>
      <c r="K10" s="190" t="str">
        <f t="shared" si="1"/>
        <v>S</v>
      </c>
      <c r="L10" s="190"/>
      <c r="M10" s="190"/>
      <c r="N10" s="191"/>
      <c r="O10" s="191"/>
      <c r="P10" s="191"/>
      <c r="Q10" s="181">
        <f t="shared" si="2"/>
        <v>300000</v>
      </c>
      <c r="R10" s="175">
        <f t="shared" si="3"/>
        <v>300000</v>
      </c>
      <c r="S10" s="192"/>
    </row>
    <row r="11" spans="1:20" s="184" customFormat="1" ht="21.75" customHeight="1" x14ac:dyDescent="0.35">
      <c r="A11" s="184">
        <v>10660</v>
      </c>
      <c r="B11" s="189" t="s">
        <v>270</v>
      </c>
      <c r="C11" s="189" t="s">
        <v>271</v>
      </c>
      <c r="D11" s="68">
        <v>1324</v>
      </c>
      <c r="E11" s="236">
        <v>390</v>
      </c>
      <c r="F11" s="236">
        <v>106</v>
      </c>
      <c r="G11" s="236">
        <v>20</v>
      </c>
      <c r="H11" s="236">
        <v>17</v>
      </c>
      <c r="I11" s="236">
        <v>2</v>
      </c>
      <c r="J11" s="180">
        <f t="shared" si="0"/>
        <v>1859</v>
      </c>
      <c r="K11" s="190" t="str">
        <f t="shared" si="1"/>
        <v>SS</v>
      </c>
      <c r="L11" s="190"/>
      <c r="M11" s="190"/>
      <c r="N11" s="191"/>
      <c r="O11" s="191"/>
      <c r="P11" s="191"/>
      <c r="Q11" s="181">
        <f t="shared" si="2"/>
        <v>240000</v>
      </c>
      <c r="R11" s="175">
        <f t="shared" si="3"/>
        <v>240000</v>
      </c>
      <c r="S11" s="192"/>
    </row>
    <row r="12" spans="1:20" s="184" customFormat="1" ht="21.75" customHeight="1" x14ac:dyDescent="0.35">
      <c r="A12" s="184">
        <v>10660</v>
      </c>
      <c r="B12" s="193" t="s">
        <v>272</v>
      </c>
      <c r="C12" s="193" t="s">
        <v>273</v>
      </c>
      <c r="D12" s="65">
        <v>3353</v>
      </c>
      <c r="E12" s="179">
        <v>1250</v>
      </c>
      <c r="F12" s="179">
        <v>336</v>
      </c>
      <c r="G12" s="179">
        <v>33</v>
      </c>
      <c r="H12" s="179">
        <v>102</v>
      </c>
      <c r="I12" s="179">
        <v>9</v>
      </c>
      <c r="J12" s="180">
        <f t="shared" si="0"/>
        <v>5083</v>
      </c>
      <c r="K12" s="190" t="str">
        <f t="shared" si="1"/>
        <v>M</v>
      </c>
      <c r="L12" s="190"/>
      <c r="M12" s="190"/>
      <c r="N12" s="191"/>
      <c r="O12" s="191"/>
      <c r="P12" s="191"/>
      <c r="Q12" s="181">
        <f t="shared" si="2"/>
        <v>330000</v>
      </c>
      <c r="R12" s="175">
        <f t="shared" si="3"/>
        <v>330000</v>
      </c>
      <c r="S12" s="192"/>
    </row>
    <row r="13" spans="1:20" s="184" customFormat="1" ht="21.75" customHeight="1" x14ac:dyDescent="0.35">
      <c r="A13" s="184">
        <v>10660</v>
      </c>
      <c r="B13" s="189" t="s">
        <v>274</v>
      </c>
      <c r="C13" s="189" t="s">
        <v>275</v>
      </c>
      <c r="D13" s="68">
        <v>2507</v>
      </c>
      <c r="E13" s="179">
        <v>1053</v>
      </c>
      <c r="F13" s="179">
        <v>700</v>
      </c>
      <c r="G13" s="179">
        <v>39</v>
      </c>
      <c r="H13" s="179">
        <v>60</v>
      </c>
      <c r="I13" s="179">
        <v>14</v>
      </c>
      <c r="J13" s="180">
        <f t="shared" si="0"/>
        <v>4373</v>
      </c>
      <c r="K13" s="190" t="str">
        <f t="shared" si="1"/>
        <v>M</v>
      </c>
      <c r="L13" s="190"/>
      <c r="M13" s="190"/>
      <c r="N13" s="191"/>
      <c r="O13" s="191"/>
      <c r="P13" s="191"/>
      <c r="Q13" s="181">
        <f t="shared" si="2"/>
        <v>330000</v>
      </c>
      <c r="R13" s="175">
        <f t="shared" si="3"/>
        <v>330000</v>
      </c>
      <c r="S13" s="192"/>
    </row>
    <row r="14" spans="1:20" s="184" customFormat="1" ht="21.75" customHeight="1" x14ac:dyDescent="0.35">
      <c r="A14" s="184">
        <v>10660</v>
      </c>
      <c r="B14" s="193" t="s">
        <v>276</v>
      </c>
      <c r="C14" s="193" t="s">
        <v>277</v>
      </c>
      <c r="D14" s="65">
        <v>3521</v>
      </c>
      <c r="E14" s="179">
        <v>484</v>
      </c>
      <c r="F14" s="179">
        <v>270</v>
      </c>
      <c r="G14" s="179">
        <v>32</v>
      </c>
      <c r="H14" s="179">
        <v>32</v>
      </c>
      <c r="I14" s="179">
        <v>0</v>
      </c>
      <c r="J14" s="180">
        <f t="shared" si="0"/>
        <v>4339</v>
      </c>
      <c r="K14" s="190" t="str">
        <f t="shared" si="1"/>
        <v>M</v>
      </c>
      <c r="L14" s="190"/>
      <c r="M14" s="190"/>
      <c r="N14" s="191"/>
      <c r="O14" s="191"/>
      <c r="P14" s="191"/>
      <c r="Q14" s="181">
        <f t="shared" si="2"/>
        <v>330000</v>
      </c>
      <c r="R14" s="175">
        <f t="shared" si="3"/>
        <v>330000</v>
      </c>
      <c r="S14" s="192"/>
    </row>
    <row r="15" spans="1:20" s="184" customFormat="1" ht="21.75" customHeight="1" x14ac:dyDescent="0.35">
      <c r="A15" s="184">
        <v>10660</v>
      </c>
      <c r="B15" s="189" t="s">
        <v>278</v>
      </c>
      <c r="C15" s="189" t="s">
        <v>279</v>
      </c>
      <c r="D15" s="68">
        <v>4073</v>
      </c>
      <c r="E15" s="179">
        <v>1077</v>
      </c>
      <c r="F15" s="179">
        <v>268</v>
      </c>
      <c r="G15" s="179">
        <v>29</v>
      </c>
      <c r="H15" s="179">
        <v>32</v>
      </c>
      <c r="I15" s="179">
        <v>12</v>
      </c>
      <c r="J15" s="180">
        <f t="shared" si="0"/>
        <v>5491</v>
      </c>
      <c r="K15" s="190" t="str">
        <f t="shared" si="1"/>
        <v>M</v>
      </c>
      <c r="L15" s="190"/>
      <c r="M15" s="190"/>
      <c r="N15" s="191"/>
      <c r="O15" s="191"/>
      <c r="P15" s="191"/>
      <c r="Q15" s="181">
        <f t="shared" si="2"/>
        <v>330000</v>
      </c>
      <c r="R15" s="175">
        <f t="shared" si="3"/>
        <v>330000</v>
      </c>
      <c r="S15" s="192"/>
    </row>
    <row r="16" spans="1:20" s="184" customFormat="1" ht="21.75" customHeight="1" x14ac:dyDescent="0.35">
      <c r="A16" s="184">
        <v>10660</v>
      </c>
      <c r="B16" s="193" t="s">
        <v>280</v>
      </c>
      <c r="C16" s="193" t="s">
        <v>281</v>
      </c>
      <c r="D16" s="65">
        <v>3743</v>
      </c>
      <c r="E16" s="179">
        <v>1157</v>
      </c>
      <c r="F16" s="179">
        <v>315</v>
      </c>
      <c r="G16" s="179">
        <v>26</v>
      </c>
      <c r="H16" s="179">
        <v>53</v>
      </c>
      <c r="I16" s="179">
        <v>10</v>
      </c>
      <c r="J16" s="180">
        <f t="shared" si="0"/>
        <v>5304</v>
      </c>
      <c r="K16" s="190" t="str">
        <f t="shared" si="1"/>
        <v>M</v>
      </c>
      <c r="L16" s="190"/>
      <c r="M16" s="190"/>
      <c r="N16" s="191"/>
      <c r="O16" s="191"/>
      <c r="P16" s="191"/>
      <c r="Q16" s="181">
        <f t="shared" si="2"/>
        <v>330000</v>
      </c>
      <c r="R16" s="175">
        <f t="shared" si="3"/>
        <v>330000</v>
      </c>
      <c r="S16" s="192"/>
    </row>
    <row r="17" spans="1:19" s="184" customFormat="1" ht="21.75" customHeight="1" x14ac:dyDescent="0.35">
      <c r="A17" s="184">
        <v>10660</v>
      </c>
      <c r="B17" s="189" t="s">
        <v>282</v>
      </c>
      <c r="C17" s="189" t="s">
        <v>283</v>
      </c>
      <c r="D17" s="68">
        <v>3106</v>
      </c>
      <c r="E17" s="179">
        <v>1368</v>
      </c>
      <c r="F17" s="179">
        <v>690</v>
      </c>
      <c r="G17" s="179">
        <v>58</v>
      </c>
      <c r="H17" s="179">
        <v>94</v>
      </c>
      <c r="I17" s="179">
        <v>9</v>
      </c>
      <c r="J17" s="180">
        <f t="shared" si="0"/>
        <v>5325</v>
      </c>
      <c r="K17" s="190" t="str">
        <f t="shared" si="1"/>
        <v>M</v>
      </c>
      <c r="L17" s="190"/>
      <c r="M17" s="190"/>
      <c r="N17" s="191"/>
      <c r="O17" s="191"/>
      <c r="P17" s="191"/>
      <c r="Q17" s="181">
        <f t="shared" si="2"/>
        <v>330000</v>
      </c>
      <c r="R17" s="175">
        <f t="shared" si="3"/>
        <v>330000</v>
      </c>
      <c r="S17" s="192"/>
    </row>
    <row r="18" spans="1:19" s="184" customFormat="1" ht="21.75" customHeight="1" x14ac:dyDescent="0.35">
      <c r="A18" s="184">
        <v>10660</v>
      </c>
      <c r="B18" s="193" t="s">
        <v>284</v>
      </c>
      <c r="C18" s="193" t="s">
        <v>285</v>
      </c>
      <c r="D18" s="65">
        <v>3834</v>
      </c>
      <c r="E18" s="179">
        <v>1953</v>
      </c>
      <c r="F18" s="179">
        <v>1108</v>
      </c>
      <c r="G18" s="179">
        <v>128</v>
      </c>
      <c r="H18" s="179">
        <v>117</v>
      </c>
      <c r="I18" s="179">
        <v>14</v>
      </c>
      <c r="J18" s="180">
        <f t="shared" si="0"/>
        <v>7154</v>
      </c>
      <c r="K18" s="190" t="str">
        <f t="shared" si="1"/>
        <v>M</v>
      </c>
      <c r="L18" s="190"/>
      <c r="M18" s="190"/>
      <c r="N18" s="191"/>
      <c r="O18" s="191"/>
      <c r="P18" s="191"/>
      <c r="Q18" s="181">
        <f t="shared" si="2"/>
        <v>330000</v>
      </c>
      <c r="R18" s="175">
        <f t="shared" si="3"/>
        <v>330000</v>
      </c>
      <c r="S18" s="192"/>
    </row>
    <row r="19" spans="1:19" s="184" customFormat="1" ht="21.75" customHeight="1" x14ac:dyDescent="0.35">
      <c r="A19" s="184">
        <v>10660</v>
      </c>
      <c r="B19" s="189" t="s">
        <v>286</v>
      </c>
      <c r="C19" s="189" t="s">
        <v>287</v>
      </c>
      <c r="D19" s="68">
        <v>2613</v>
      </c>
      <c r="E19" s="179">
        <v>997</v>
      </c>
      <c r="F19" s="179">
        <v>390</v>
      </c>
      <c r="G19" s="179">
        <v>61</v>
      </c>
      <c r="H19" s="179">
        <v>53</v>
      </c>
      <c r="I19" s="179">
        <v>8</v>
      </c>
      <c r="J19" s="180">
        <f t="shared" si="0"/>
        <v>4122</v>
      </c>
      <c r="K19" s="190" t="str">
        <f t="shared" si="1"/>
        <v>M</v>
      </c>
      <c r="L19" s="190"/>
      <c r="M19" s="190"/>
      <c r="N19" s="191"/>
      <c r="O19" s="191"/>
      <c r="P19" s="191"/>
      <c r="Q19" s="181">
        <f t="shared" si="2"/>
        <v>330000</v>
      </c>
      <c r="R19" s="175">
        <f t="shared" si="3"/>
        <v>330000</v>
      </c>
      <c r="S19" s="192"/>
    </row>
    <row r="20" spans="1:19" s="184" customFormat="1" ht="21.75" customHeight="1" x14ac:dyDescent="0.35">
      <c r="A20" s="184">
        <v>10660</v>
      </c>
      <c r="B20" s="193" t="s">
        <v>288</v>
      </c>
      <c r="C20" s="193" t="s">
        <v>289</v>
      </c>
      <c r="D20" s="65">
        <v>1466</v>
      </c>
      <c r="E20" s="179">
        <v>822</v>
      </c>
      <c r="F20" s="179">
        <v>228</v>
      </c>
      <c r="G20" s="179">
        <v>25</v>
      </c>
      <c r="H20" s="179">
        <v>32</v>
      </c>
      <c r="I20" s="179">
        <v>8</v>
      </c>
      <c r="J20" s="180">
        <f t="shared" si="0"/>
        <v>2581</v>
      </c>
      <c r="K20" s="190" t="str">
        <f t="shared" si="1"/>
        <v>S</v>
      </c>
      <c r="L20" s="190"/>
      <c r="M20" s="190"/>
      <c r="N20" s="191"/>
      <c r="O20" s="191"/>
      <c r="P20" s="191"/>
      <c r="Q20" s="181">
        <f t="shared" si="2"/>
        <v>300000</v>
      </c>
      <c r="R20" s="175">
        <f t="shared" si="3"/>
        <v>300000</v>
      </c>
      <c r="S20" s="192"/>
    </row>
    <row r="21" spans="1:19" s="184" customFormat="1" ht="21.75" customHeight="1" x14ac:dyDescent="0.35">
      <c r="A21" s="184">
        <v>10660</v>
      </c>
      <c r="B21" s="189" t="s">
        <v>290</v>
      </c>
      <c r="C21" s="189" t="s">
        <v>291</v>
      </c>
      <c r="D21" s="68">
        <v>4101</v>
      </c>
      <c r="E21" s="179">
        <v>1742</v>
      </c>
      <c r="F21" s="179">
        <v>763</v>
      </c>
      <c r="G21" s="179">
        <v>81</v>
      </c>
      <c r="H21" s="179">
        <v>89</v>
      </c>
      <c r="I21" s="179">
        <v>14</v>
      </c>
      <c r="J21" s="180">
        <f t="shared" si="0"/>
        <v>6790</v>
      </c>
      <c r="K21" s="190" t="str">
        <f t="shared" si="1"/>
        <v>M</v>
      </c>
      <c r="L21" s="190"/>
      <c r="M21" s="190"/>
      <c r="N21" s="191"/>
      <c r="O21" s="191"/>
      <c r="P21" s="191"/>
      <c r="Q21" s="181">
        <f t="shared" si="2"/>
        <v>330000</v>
      </c>
      <c r="R21" s="175">
        <f t="shared" si="3"/>
        <v>330000</v>
      </c>
      <c r="S21" s="192"/>
    </row>
    <row r="22" spans="1:19" s="184" customFormat="1" ht="21.75" customHeight="1" x14ac:dyDescent="0.35">
      <c r="A22" s="184">
        <v>10660</v>
      </c>
      <c r="B22" s="193" t="s">
        <v>292</v>
      </c>
      <c r="C22" s="193" t="s">
        <v>293</v>
      </c>
      <c r="D22" s="65">
        <v>837</v>
      </c>
      <c r="E22" s="179">
        <v>434</v>
      </c>
      <c r="F22" s="179">
        <v>95</v>
      </c>
      <c r="G22" s="179">
        <v>11</v>
      </c>
      <c r="H22" s="179">
        <v>18</v>
      </c>
      <c r="I22" s="179">
        <v>0</v>
      </c>
      <c r="J22" s="180">
        <f t="shared" si="0"/>
        <v>1395</v>
      </c>
      <c r="K22" s="190" t="str">
        <f t="shared" si="1"/>
        <v>SS</v>
      </c>
      <c r="L22" s="190"/>
      <c r="M22" s="190"/>
      <c r="N22" s="191"/>
      <c r="O22" s="191"/>
      <c r="P22" s="191"/>
      <c r="Q22" s="181">
        <f t="shared" si="2"/>
        <v>240000</v>
      </c>
      <c r="R22" s="175">
        <f t="shared" si="3"/>
        <v>240000</v>
      </c>
      <c r="S22" s="192"/>
    </row>
    <row r="23" spans="1:19" s="184" customFormat="1" ht="21.75" hidden="1" customHeight="1" x14ac:dyDescent="0.35">
      <c r="A23" s="184">
        <v>10688</v>
      </c>
      <c r="B23" s="194" t="s">
        <v>390</v>
      </c>
      <c r="C23" s="194" t="s">
        <v>391</v>
      </c>
      <c r="D23" s="122">
        <v>1922</v>
      </c>
      <c r="E23" s="179">
        <v>1676</v>
      </c>
      <c r="F23" s="179">
        <v>667</v>
      </c>
      <c r="G23" s="179">
        <v>163</v>
      </c>
      <c r="H23" s="179">
        <v>95</v>
      </c>
      <c r="I23" s="179">
        <v>11</v>
      </c>
      <c r="J23" s="180">
        <f t="shared" si="0"/>
        <v>4534</v>
      </c>
      <c r="K23" s="190" t="str">
        <f t="shared" si="1"/>
        <v>M</v>
      </c>
      <c r="L23" s="190"/>
      <c r="M23" s="190"/>
      <c r="N23" s="191"/>
      <c r="O23" s="191"/>
      <c r="P23" s="191"/>
      <c r="Q23" s="181">
        <f t="shared" si="2"/>
        <v>330000</v>
      </c>
      <c r="R23" s="175">
        <f t="shared" si="3"/>
        <v>330000</v>
      </c>
      <c r="S23" s="192"/>
    </row>
    <row r="24" spans="1:19" s="184" customFormat="1" ht="21.75" hidden="1" customHeight="1" x14ac:dyDescent="0.35">
      <c r="A24" s="184">
        <v>10688</v>
      </c>
      <c r="B24" s="195" t="s">
        <v>392</v>
      </c>
      <c r="C24" s="195" t="s">
        <v>393</v>
      </c>
      <c r="D24" s="101">
        <v>2644</v>
      </c>
      <c r="E24" s="179">
        <v>1030</v>
      </c>
      <c r="F24" s="179">
        <v>370</v>
      </c>
      <c r="G24" s="179">
        <v>110</v>
      </c>
      <c r="H24" s="179">
        <v>62</v>
      </c>
      <c r="I24" s="179">
        <v>9</v>
      </c>
      <c r="J24" s="180">
        <f t="shared" si="0"/>
        <v>4225</v>
      </c>
      <c r="K24" s="190" t="str">
        <f t="shared" si="1"/>
        <v>M</v>
      </c>
      <c r="L24" s="190"/>
      <c r="M24" s="190"/>
      <c r="N24" s="191"/>
      <c r="O24" s="191"/>
      <c r="P24" s="191"/>
      <c r="Q24" s="181">
        <f t="shared" si="2"/>
        <v>330000</v>
      </c>
      <c r="R24" s="175">
        <f t="shared" si="3"/>
        <v>330000</v>
      </c>
      <c r="S24" s="192"/>
    </row>
    <row r="25" spans="1:19" s="184" customFormat="1" ht="21.75" hidden="1" customHeight="1" x14ac:dyDescent="0.35">
      <c r="A25" s="184">
        <v>10688</v>
      </c>
      <c r="B25" s="194" t="s">
        <v>394</v>
      </c>
      <c r="C25" s="194" t="s">
        <v>395</v>
      </c>
      <c r="D25" s="122">
        <v>4269</v>
      </c>
      <c r="E25" s="179">
        <v>1509</v>
      </c>
      <c r="F25" s="179">
        <v>455</v>
      </c>
      <c r="G25" s="179">
        <v>100</v>
      </c>
      <c r="H25" s="179">
        <v>50</v>
      </c>
      <c r="I25" s="179">
        <v>9</v>
      </c>
      <c r="J25" s="180">
        <f t="shared" si="0"/>
        <v>6392</v>
      </c>
      <c r="K25" s="190" t="str">
        <f t="shared" si="1"/>
        <v>M</v>
      </c>
      <c r="L25" s="190"/>
      <c r="M25" s="190"/>
      <c r="N25" s="191"/>
      <c r="O25" s="191"/>
      <c r="P25" s="191"/>
      <c r="Q25" s="181">
        <f t="shared" si="2"/>
        <v>330000</v>
      </c>
      <c r="R25" s="175">
        <f t="shared" si="3"/>
        <v>330000</v>
      </c>
      <c r="S25" s="192"/>
    </row>
    <row r="26" spans="1:19" s="184" customFormat="1" ht="21.75" hidden="1" customHeight="1" x14ac:dyDescent="0.35">
      <c r="A26" s="184">
        <v>10688</v>
      </c>
      <c r="B26" s="194" t="s">
        <v>398</v>
      </c>
      <c r="C26" s="194" t="s">
        <v>399</v>
      </c>
      <c r="D26" s="122">
        <v>2070</v>
      </c>
      <c r="E26" s="179">
        <v>1132</v>
      </c>
      <c r="F26" s="179">
        <v>323</v>
      </c>
      <c r="G26" s="179">
        <v>79</v>
      </c>
      <c r="H26" s="179">
        <v>51</v>
      </c>
      <c r="I26" s="179">
        <v>6</v>
      </c>
      <c r="J26" s="180">
        <f t="shared" si="0"/>
        <v>3661</v>
      </c>
      <c r="K26" s="190" t="str">
        <f t="shared" si="1"/>
        <v>M</v>
      </c>
      <c r="L26" s="190"/>
      <c r="M26" s="190"/>
      <c r="N26" s="191"/>
      <c r="O26" s="191"/>
      <c r="P26" s="191"/>
      <c r="Q26" s="181">
        <f t="shared" si="2"/>
        <v>330000</v>
      </c>
      <c r="R26" s="175">
        <f t="shared" si="3"/>
        <v>330000</v>
      </c>
      <c r="S26" s="192"/>
    </row>
    <row r="27" spans="1:19" s="184" customFormat="1" ht="21.75" hidden="1" customHeight="1" x14ac:dyDescent="0.35">
      <c r="A27" s="184">
        <v>10688</v>
      </c>
      <c r="B27" s="195" t="s">
        <v>400</v>
      </c>
      <c r="C27" s="195" t="s">
        <v>401</v>
      </c>
      <c r="D27" s="101">
        <v>2010</v>
      </c>
      <c r="E27" s="179">
        <v>538</v>
      </c>
      <c r="F27" s="179">
        <v>128</v>
      </c>
      <c r="G27" s="179">
        <v>16</v>
      </c>
      <c r="H27" s="179">
        <v>18</v>
      </c>
      <c r="I27" s="179">
        <v>1</v>
      </c>
      <c r="J27" s="180">
        <f t="shared" si="0"/>
        <v>2711</v>
      </c>
      <c r="K27" s="190" t="str">
        <f t="shared" si="1"/>
        <v>S</v>
      </c>
      <c r="L27" s="190"/>
      <c r="M27" s="190"/>
      <c r="N27" s="191"/>
      <c r="O27" s="191"/>
      <c r="P27" s="191"/>
      <c r="Q27" s="181">
        <f t="shared" si="2"/>
        <v>300000</v>
      </c>
      <c r="R27" s="175">
        <f t="shared" si="3"/>
        <v>300000</v>
      </c>
      <c r="S27" s="192"/>
    </row>
    <row r="28" spans="1:19" s="184" customFormat="1" ht="21.75" hidden="1" customHeight="1" x14ac:dyDescent="0.35">
      <c r="A28" s="184">
        <v>10688</v>
      </c>
      <c r="B28" s="194" t="s">
        <v>402</v>
      </c>
      <c r="C28" s="194" t="s">
        <v>403</v>
      </c>
      <c r="D28" s="122">
        <v>2311</v>
      </c>
      <c r="E28" s="179">
        <v>903</v>
      </c>
      <c r="F28" s="179">
        <v>270</v>
      </c>
      <c r="G28" s="179">
        <v>43</v>
      </c>
      <c r="H28" s="179">
        <v>42</v>
      </c>
      <c r="I28" s="179">
        <v>4</v>
      </c>
      <c r="J28" s="180">
        <f t="shared" si="0"/>
        <v>3573</v>
      </c>
      <c r="K28" s="190" t="str">
        <f t="shared" si="1"/>
        <v>M</v>
      </c>
      <c r="L28" s="190"/>
      <c r="M28" s="190"/>
      <c r="N28" s="191"/>
      <c r="O28" s="191"/>
      <c r="P28" s="191"/>
      <c r="Q28" s="181">
        <f t="shared" si="2"/>
        <v>330000</v>
      </c>
      <c r="R28" s="175">
        <f t="shared" si="3"/>
        <v>330000</v>
      </c>
      <c r="S28" s="192"/>
    </row>
    <row r="29" spans="1:19" s="184" customFormat="1" ht="21.75" hidden="1" customHeight="1" x14ac:dyDescent="0.35">
      <c r="A29" s="184">
        <v>10688</v>
      </c>
      <c r="B29" s="195" t="s">
        <v>404</v>
      </c>
      <c r="C29" s="195" t="s">
        <v>405</v>
      </c>
      <c r="D29" s="101">
        <v>1662</v>
      </c>
      <c r="E29" s="179">
        <v>771</v>
      </c>
      <c r="F29" s="179">
        <v>168</v>
      </c>
      <c r="G29" s="179">
        <v>27</v>
      </c>
      <c r="H29" s="179">
        <v>28</v>
      </c>
      <c r="I29" s="179">
        <v>3</v>
      </c>
      <c r="J29" s="180">
        <f t="shared" si="0"/>
        <v>2659</v>
      </c>
      <c r="K29" s="190" t="str">
        <f t="shared" si="1"/>
        <v>S</v>
      </c>
      <c r="L29" s="190"/>
      <c r="M29" s="190"/>
      <c r="N29" s="191"/>
      <c r="O29" s="191"/>
      <c r="P29" s="191"/>
      <c r="Q29" s="181">
        <f t="shared" si="2"/>
        <v>300000</v>
      </c>
      <c r="R29" s="175">
        <f t="shared" si="3"/>
        <v>300000</v>
      </c>
      <c r="S29" s="192"/>
    </row>
    <row r="30" spans="1:19" s="184" customFormat="1" ht="21.75" hidden="1" customHeight="1" x14ac:dyDescent="0.35">
      <c r="A30" s="184">
        <v>10688</v>
      </c>
      <c r="B30" s="194" t="s">
        <v>406</v>
      </c>
      <c r="C30" s="194" t="s">
        <v>407</v>
      </c>
      <c r="D30" s="122">
        <v>1143</v>
      </c>
      <c r="E30" s="179">
        <v>572</v>
      </c>
      <c r="F30" s="179">
        <v>166</v>
      </c>
      <c r="G30" s="179">
        <v>21</v>
      </c>
      <c r="H30" s="179">
        <v>21</v>
      </c>
      <c r="I30" s="179">
        <v>3</v>
      </c>
      <c r="J30" s="180">
        <f t="shared" si="0"/>
        <v>1926</v>
      </c>
      <c r="K30" s="190" t="str">
        <f t="shared" si="1"/>
        <v>SS</v>
      </c>
      <c r="L30" s="190"/>
      <c r="M30" s="190"/>
      <c r="N30" s="191"/>
      <c r="O30" s="191"/>
      <c r="P30" s="191"/>
      <c r="Q30" s="181">
        <f t="shared" si="2"/>
        <v>240000</v>
      </c>
      <c r="R30" s="175">
        <f t="shared" si="3"/>
        <v>240000</v>
      </c>
      <c r="S30" s="192"/>
    </row>
    <row r="31" spans="1:19" s="184" customFormat="1" ht="21.75" hidden="1" customHeight="1" x14ac:dyDescent="0.35">
      <c r="A31" s="184">
        <v>10688</v>
      </c>
      <c r="B31" s="195" t="s">
        <v>408</v>
      </c>
      <c r="C31" s="195" t="s">
        <v>409</v>
      </c>
      <c r="D31" s="101">
        <v>2857</v>
      </c>
      <c r="E31" s="179">
        <v>1137</v>
      </c>
      <c r="F31" s="179">
        <v>219</v>
      </c>
      <c r="G31" s="179">
        <v>52</v>
      </c>
      <c r="H31" s="179">
        <v>38</v>
      </c>
      <c r="I31" s="179">
        <v>4</v>
      </c>
      <c r="J31" s="180">
        <f t="shared" si="0"/>
        <v>4307</v>
      </c>
      <c r="K31" s="190" t="str">
        <f t="shared" si="1"/>
        <v>M</v>
      </c>
      <c r="L31" s="190"/>
      <c r="M31" s="190"/>
      <c r="N31" s="191"/>
      <c r="O31" s="191"/>
      <c r="P31" s="191"/>
      <c r="Q31" s="181">
        <f t="shared" si="2"/>
        <v>330000</v>
      </c>
      <c r="R31" s="175">
        <f t="shared" si="3"/>
        <v>330000</v>
      </c>
      <c r="S31" s="192"/>
    </row>
    <row r="32" spans="1:19" s="184" customFormat="1" ht="21.75" hidden="1" customHeight="1" x14ac:dyDescent="0.35">
      <c r="A32" s="184">
        <v>10688</v>
      </c>
      <c r="B32" s="194" t="s">
        <v>410</v>
      </c>
      <c r="C32" s="194" t="s">
        <v>411</v>
      </c>
      <c r="D32" s="122">
        <v>3218</v>
      </c>
      <c r="E32" s="179">
        <v>1032</v>
      </c>
      <c r="F32" s="179">
        <v>249</v>
      </c>
      <c r="G32" s="179">
        <v>47</v>
      </c>
      <c r="H32" s="179">
        <v>44</v>
      </c>
      <c r="I32" s="179">
        <v>10</v>
      </c>
      <c r="J32" s="180">
        <f t="shared" si="0"/>
        <v>4600</v>
      </c>
      <c r="K32" s="190" t="str">
        <f t="shared" si="1"/>
        <v>M</v>
      </c>
      <c r="L32" s="190"/>
      <c r="M32" s="190"/>
      <c r="N32" s="191"/>
      <c r="O32" s="191"/>
      <c r="P32" s="191"/>
      <c r="Q32" s="181">
        <f t="shared" si="2"/>
        <v>330000</v>
      </c>
      <c r="R32" s="175">
        <f t="shared" si="3"/>
        <v>330000</v>
      </c>
      <c r="S32" s="192"/>
    </row>
    <row r="33" spans="1:19" s="184" customFormat="1" ht="21.75" hidden="1" customHeight="1" x14ac:dyDescent="0.35">
      <c r="A33" s="184">
        <v>10688</v>
      </c>
      <c r="B33" s="195" t="s">
        <v>412</v>
      </c>
      <c r="C33" s="195" t="s">
        <v>413</v>
      </c>
      <c r="D33" s="101">
        <v>3297</v>
      </c>
      <c r="E33" s="179">
        <v>1190</v>
      </c>
      <c r="F33" s="179">
        <v>208</v>
      </c>
      <c r="G33" s="179">
        <v>26</v>
      </c>
      <c r="H33" s="179">
        <v>27</v>
      </c>
      <c r="I33" s="179">
        <v>4</v>
      </c>
      <c r="J33" s="180">
        <f t="shared" si="0"/>
        <v>4752</v>
      </c>
      <c r="K33" s="190" t="str">
        <f t="shared" si="1"/>
        <v>M</v>
      </c>
      <c r="L33" s="190"/>
      <c r="M33" s="190"/>
      <c r="N33" s="191"/>
      <c r="O33" s="191"/>
      <c r="P33" s="191"/>
      <c r="Q33" s="181">
        <f t="shared" si="2"/>
        <v>330000</v>
      </c>
      <c r="R33" s="175">
        <f t="shared" si="3"/>
        <v>330000</v>
      </c>
      <c r="S33" s="192"/>
    </row>
    <row r="34" spans="1:19" s="184" customFormat="1" ht="21.75" hidden="1" customHeight="1" x14ac:dyDescent="0.35">
      <c r="A34" s="184">
        <v>10688</v>
      </c>
      <c r="B34" s="194" t="s">
        <v>414</v>
      </c>
      <c r="C34" s="194" t="s">
        <v>415</v>
      </c>
      <c r="D34" s="122">
        <v>2097</v>
      </c>
      <c r="E34" s="179">
        <v>952</v>
      </c>
      <c r="F34" s="179">
        <v>155</v>
      </c>
      <c r="G34" s="179">
        <v>16</v>
      </c>
      <c r="H34" s="179">
        <v>19</v>
      </c>
      <c r="I34" s="179">
        <v>6</v>
      </c>
      <c r="J34" s="180">
        <f t="shared" si="0"/>
        <v>3245</v>
      </c>
      <c r="K34" s="190" t="str">
        <f t="shared" si="1"/>
        <v>M</v>
      </c>
      <c r="L34" s="190"/>
      <c r="M34" s="190"/>
      <c r="N34" s="191"/>
      <c r="O34" s="191"/>
      <c r="P34" s="191"/>
      <c r="Q34" s="181">
        <f t="shared" si="2"/>
        <v>330000</v>
      </c>
      <c r="R34" s="175">
        <f t="shared" si="3"/>
        <v>330000</v>
      </c>
      <c r="S34" s="192"/>
    </row>
    <row r="35" spans="1:19" s="184" customFormat="1" ht="21.75" hidden="1" customHeight="1" x14ac:dyDescent="0.35">
      <c r="A35" s="184">
        <v>10688</v>
      </c>
      <c r="B35" s="195" t="s">
        <v>416</v>
      </c>
      <c r="C35" s="195" t="s">
        <v>417</v>
      </c>
      <c r="D35" s="101">
        <v>1734</v>
      </c>
      <c r="E35" s="179">
        <v>494</v>
      </c>
      <c r="F35" s="179">
        <v>88</v>
      </c>
      <c r="G35" s="179">
        <v>33</v>
      </c>
      <c r="H35" s="179">
        <v>6</v>
      </c>
      <c r="I35" s="179">
        <v>4</v>
      </c>
      <c r="J35" s="180">
        <f t="shared" si="0"/>
        <v>2359</v>
      </c>
      <c r="K35" s="190" t="str">
        <f t="shared" si="1"/>
        <v>S</v>
      </c>
      <c r="L35" s="190"/>
      <c r="M35" s="190"/>
      <c r="N35" s="191"/>
      <c r="O35" s="191"/>
      <c r="P35" s="191"/>
      <c r="Q35" s="181">
        <f t="shared" si="2"/>
        <v>300000</v>
      </c>
      <c r="R35" s="175">
        <f t="shared" si="3"/>
        <v>300000</v>
      </c>
      <c r="S35" s="192"/>
    </row>
    <row r="36" spans="1:19" s="184" customFormat="1" ht="21.75" hidden="1" customHeight="1" x14ac:dyDescent="0.35">
      <c r="A36" s="184">
        <v>10688</v>
      </c>
      <c r="B36" s="194" t="s">
        <v>418</v>
      </c>
      <c r="C36" s="194" t="s">
        <v>419</v>
      </c>
      <c r="D36" s="122">
        <v>1768</v>
      </c>
      <c r="E36" s="179">
        <v>732</v>
      </c>
      <c r="F36" s="179">
        <v>110</v>
      </c>
      <c r="G36" s="179">
        <v>24</v>
      </c>
      <c r="H36" s="179">
        <v>15</v>
      </c>
      <c r="I36" s="179">
        <v>5</v>
      </c>
      <c r="J36" s="180">
        <f t="shared" si="0"/>
        <v>2654</v>
      </c>
      <c r="K36" s="190" t="str">
        <f t="shared" si="1"/>
        <v>S</v>
      </c>
      <c r="L36" s="190"/>
      <c r="M36" s="190"/>
      <c r="N36" s="191"/>
      <c r="O36" s="191"/>
      <c r="P36" s="191"/>
      <c r="Q36" s="181">
        <f t="shared" si="2"/>
        <v>300000</v>
      </c>
      <c r="R36" s="175">
        <f t="shared" si="3"/>
        <v>300000</v>
      </c>
      <c r="S36" s="192"/>
    </row>
    <row r="37" spans="1:19" s="184" customFormat="1" ht="21.75" hidden="1" customHeight="1" x14ac:dyDescent="0.35">
      <c r="A37" s="184">
        <v>10688</v>
      </c>
      <c r="B37" s="195" t="s">
        <v>420</v>
      </c>
      <c r="C37" s="195" t="s">
        <v>421</v>
      </c>
      <c r="D37" s="101">
        <v>1589</v>
      </c>
      <c r="E37" s="179">
        <v>782</v>
      </c>
      <c r="F37" s="179">
        <v>171</v>
      </c>
      <c r="G37" s="179">
        <v>68</v>
      </c>
      <c r="H37" s="179">
        <v>46</v>
      </c>
      <c r="I37" s="179">
        <v>3</v>
      </c>
      <c r="J37" s="180">
        <f t="shared" si="0"/>
        <v>2659</v>
      </c>
      <c r="K37" s="190" t="str">
        <f t="shared" si="1"/>
        <v>S</v>
      </c>
      <c r="L37" s="190"/>
      <c r="M37" s="190"/>
      <c r="N37" s="191"/>
      <c r="O37" s="191"/>
      <c r="P37" s="191"/>
      <c r="Q37" s="181">
        <f t="shared" si="2"/>
        <v>300000</v>
      </c>
      <c r="R37" s="175">
        <f t="shared" si="3"/>
        <v>300000</v>
      </c>
      <c r="S37" s="192"/>
    </row>
    <row r="38" spans="1:19" s="184" customFormat="1" ht="21.75" hidden="1" customHeight="1" x14ac:dyDescent="0.35">
      <c r="A38" s="184">
        <v>10768</v>
      </c>
      <c r="B38" s="196" t="s">
        <v>432</v>
      </c>
      <c r="C38" s="196" t="s">
        <v>433</v>
      </c>
      <c r="D38" s="3">
        <v>1697</v>
      </c>
      <c r="E38" s="179">
        <v>796</v>
      </c>
      <c r="F38" s="179">
        <v>143</v>
      </c>
      <c r="G38" s="179">
        <v>23</v>
      </c>
      <c r="H38" s="179">
        <v>30</v>
      </c>
      <c r="I38" s="179">
        <v>9</v>
      </c>
      <c r="J38" s="180">
        <f t="shared" si="0"/>
        <v>2698</v>
      </c>
      <c r="K38" s="190" t="str">
        <f t="shared" si="1"/>
        <v>S</v>
      </c>
      <c r="L38" s="190"/>
      <c r="M38" s="190"/>
      <c r="N38" s="191"/>
      <c r="O38" s="191"/>
      <c r="P38" s="191"/>
      <c r="Q38" s="181">
        <f t="shared" si="2"/>
        <v>300000</v>
      </c>
      <c r="R38" s="175">
        <f t="shared" si="3"/>
        <v>300000</v>
      </c>
      <c r="S38" s="192"/>
    </row>
    <row r="39" spans="1:19" s="184" customFormat="1" ht="21.75" hidden="1" customHeight="1" x14ac:dyDescent="0.35">
      <c r="A39" s="184">
        <v>10768</v>
      </c>
      <c r="B39" s="198" t="s">
        <v>434</v>
      </c>
      <c r="C39" s="198" t="s">
        <v>435</v>
      </c>
      <c r="D39" s="6">
        <v>1926</v>
      </c>
      <c r="E39" s="179">
        <v>949</v>
      </c>
      <c r="F39" s="179">
        <v>225</v>
      </c>
      <c r="G39" s="179">
        <v>28</v>
      </c>
      <c r="H39" s="179">
        <v>48</v>
      </c>
      <c r="I39" s="179">
        <v>10</v>
      </c>
      <c r="J39" s="180">
        <f t="shared" si="0"/>
        <v>3186</v>
      </c>
      <c r="K39" s="190" t="str">
        <f t="shared" si="1"/>
        <v>M</v>
      </c>
      <c r="L39" s="190"/>
      <c r="M39" s="190"/>
      <c r="N39" s="191"/>
      <c r="O39" s="191"/>
      <c r="P39" s="191"/>
      <c r="Q39" s="181">
        <f t="shared" si="2"/>
        <v>330000</v>
      </c>
      <c r="R39" s="175">
        <f t="shared" si="3"/>
        <v>330000</v>
      </c>
      <c r="S39" s="192"/>
    </row>
    <row r="40" spans="1:19" s="184" customFormat="1" ht="21.75" hidden="1" customHeight="1" x14ac:dyDescent="0.35">
      <c r="A40" s="184">
        <v>10768</v>
      </c>
      <c r="B40" s="196" t="s">
        <v>436</v>
      </c>
      <c r="C40" s="196" t="s">
        <v>437</v>
      </c>
      <c r="D40" s="3">
        <v>850</v>
      </c>
      <c r="E40" s="179">
        <v>404</v>
      </c>
      <c r="F40" s="179">
        <v>98</v>
      </c>
      <c r="G40" s="179">
        <v>17</v>
      </c>
      <c r="H40" s="179">
        <v>16</v>
      </c>
      <c r="I40" s="179">
        <v>1</v>
      </c>
      <c r="J40" s="180">
        <f t="shared" si="0"/>
        <v>1386</v>
      </c>
      <c r="K40" s="190" t="str">
        <f t="shared" si="1"/>
        <v>SS</v>
      </c>
      <c r="L40" s="190"/>
      <c r="M40" s="190"/>
      <c r="N40" s="191"/>
      <c r="O40" s="191"/>
      <c r="P40" s="191"/>
      <c r="Q40" s="181">
        <f t="shared" si="2"/>
        <v>240000</v>
      </c>
      <c r="R40" s="175">
        <f t="shared" si="3"/>
        <v>240000</v>
      </c>
      <c r="S40" s="192"/>
    </row>
    <row r="41" spans="1:19" s="184" customFormat="1" ht="21.75" hidden="1" customHeight="1" x14ac:dyDescent="0.35">
      <c r="A41" s="184">
        <v>10768</v>
      </c>
      <c r="B41" s="196" t="s">
        <v>438</v>
      </c>
      <c r="C41" s="196" t="s">
        <v>439</v>
      </c>
      <c r="D41" s="6">
        <v>1019</v>
      </c>
      <c r="E41" s="225">
        <v>451</v>
      </c>
      <c r="F41" s="225">
        <v>77</v>
      </c>
      <c r="G41" s="225">
        <v>8</v>
      </c>
      <c r="H41" s="225">
        <v>19</v>
      </c>
      <c r="I41" s="225">
        <v>3</v>
      </c>
      <c r="J41" s="180">
        <f t="shared" si="0"/>
        <v>1577</v>
      </c>
      <c r="K41" s="190" t="str">
        <f t="shared" si="1"/>
        <v>SS</v>
      </c>
      <c r="L41" s="190"/>
      <c r="M41" s="190"/>
      <c r="N41" s="191"/>
      <c r="O41" s="191"/>
      <c r="P41" s="191"/>
      <c r="Q41" s="181">
        <f t="shared" si="2"/>
        <v>240000</v>
      </c>
      <c r="R41" s="175">
        <f t="shared" si="3"/>
        <v>240000</v>
      </c>
      <c r="S41" s="192"/>
    </row>
    <row r="42" spans="1:19" s="184" customFormat="1" ht="21.75" hidden="1" customHeight="1" x14ac:dyDescent="0.35">
      <c r="A42" s="184">
        <v>10768</v>
      </c>
      <c r="B42" s="198" t="s">
        <v>440</v>
      </c>
      <c r="C42" s="198" t="s">
        <v>441</v>
      </c>
      <c r="D42" s="3">
        <v>1342</v>
      </c>
      <c r="E42" s="179">
        <v>684</v>
      </c>
      <c r="F42" s="179">
        <v>122</v>
      </c>
      <c r="G42" s="179">
        <v>21</v>
      </c>
      <c r="H42" s="179">
        <v>24</v>
      </c>
      <c r="I42" s="179">
        <v>4</v>
      </c>
      <c r="J42" s="180">
        <f t="shared" si="0"/>
        <v>2197</v>
      </c>
      <c r="K42" s="190" t="str">
        <f t="shared" si="1"/>
        <v>S</v>
      </c>
      <c r="L42" s="190"/>
      <c r="M42" s="190"/>
      <c r="N42" s="191"/>
      <c r="O42" s="191"/>
      <c r="P42" s="191"/>
      <c r="Q42" s="181">
        <f t="shared" si="2"/>
        <v>300000</v>
      </c>
      <c r="R42" s="175">
        <f t="shared" si="3"/>
        <v>300000</v>
      </c>
      <c r="S42" s="192"/>
    </row>
    <row r="43" spans="1:19" s="184" customFormat="1" ht="21.75" hidden="1" customHeight="1" x14ac:dyDescent="0.35">
      <c r="A43" s="184">
        <v>10768</v>
      </c>
      <c r="B43" s="198" t="s">
        <v>442</v>
      </c>
      <c r="C43" s="198" t="s">
        <v>443</v>
      </c>
      <c r="D43" s="6">
        <v>1436</v>
      </c>
      <c r="E43" s="179">
        <v>749</v>
      </c>
      <c r="F43" s="179">
        <v>109</v>
      </c>
      <c r="G43" s="179">
        <v>29</v>
      </c>
      <c r="H43" s="179">
        <v>19</v>
      </c>
      <c r="I43" s="179">
        <v>6</v>
      </c>
      <c r="J43" s="180">
        <f t="shared" si="0"/>
        <v>2348</v>
      </c>
      <c r="K43" s="190" t="str">
        <f t="shared" si="1"/>
        <v>S</v>
      </c>
      <c r="L43" s="190"/>
      <c r="M43" s="190"/>
      <c r="N43" s="191"/>
      <c r="O43" s="191"/>
      <c r="P43" s="191"/>
      <c r="Q43" s="181">
        <f t="shared" si="2"/>
        <v>300000</v>
      </c>
      <c r="R43" s="175">
        <f t="shared" si="3"/>
        <v>300000</v>
      </c>
      <c r="S43" s="192"/>
    </row>
    <row r="44" spans="1:19" s="184" customFormat="1" ht="21.75" hidden="1" customHeight="1" x14ac:dyDescent="0.35">
      <c r="A44" s="184">
        <v>10768</v>
      </c>
      <c r="B44" s="196" t="s">
        <v>444</v>
      </c>
      <c r="C44" s="196" t="s">
        <v>445</v>
      </c>
      <c r="D44" s="3">
        <v>1903</v>
      </c>
      <c r="E44" s="179">
        <v>861</v>
      </c>
      <c r="F44" s="179">
        <v>226</v>
      </c>
      <c r="G44" s="179">
        <v>22</v>
      </c>
      <c r="H44" s="179">
        <v>44</v>
      </c>
      <c r="I44" s="179">
        <v>5</v>
      </c>
      <c r="J44" s="180">
        <f t="shared" si="0"/>
        <v>3061</v>
      </c>
      <c r="K44" s="190" t="str">
        <f t="shared" si="1"/>
        <v>M</v>
      </c>
      <c r="L44" s="190"/>
      <c r="M44" s="190"/>
      <c r="N44" s="191"/>
      <c r="O44" s="191"/>
      <c r="P44" s="191"/>
      <c r="Q44" s="181">
        <f t="shared" si="2"/>
        <v>330000</v>
      </c>
      <c r="R44" s="175">
        <f t="shared" si="3"/>
        <v>330000</v>
      </c>
      <c r="S44" s="192"/>
    </row>
    <row r="45" spans="1:19" s="184" customFormat="1" ht="21.75" hidden="1" customHeight="1" x14ac:dyDescent="0.35">
      <c r="A45" s="184">
        <v>10768</v>
      </c>
      <c r="B45" s="198" t="s">
        <v>446</v>
      </c>
      <c r="C45" s="198" t="s">
        <v>447</v>
      </c>
      <c r="D45" s="6">
        <v>875</v>
      </c>
      <c r="E45" s="179">
        <v>480</v>
      </c>
      <c r="F45" s="179">
        <v>81</v>
      </c>
      <c r="G45" s="179">
        <v>25</v>
      </c>
      <c r="H45" s="179">
        <v>16</v>
      </c>
      <c r="I45" s="179">
        <v>8</v>
      </c>
      <c r="J45" s="180">
        <f t="shared" si="0"/>
        <v>1485</v>
      </c>
      <c r="K45" s="190" t="str">
        <f t="shared" si="1"/>
        <v>SS</v>
      </c>
      <c r="L45" s="190"/>
      <c r="M45" s="190"/>
      <c r="N45" s="191"/>
      <c r="O45" s="191"/>
      <c r="P45" s="191"/>
      <c r="Q45" s="181">
        <f t="shared" si="2"/>
        <v>240000</v>
      </c>
      <c r="R45" s="175">
        <f t="shared" si="3"/>
        <v>240000</v>
      </c>
      <c r="S45" s="192"/>
    </row>
    <row r="46" spans="1:19" s="184" customFormat="1" ht="21.75" hidden="1" customHeight="1" x14ac:dyDescent="0.35">
      <c r="A46" s="184">
        <v>10768</v>
      </c>
      <c r="B46" s="198" t="s">
        <v>448</v>
      </c>
      <c r="C46" s="198" t="s">
        <v>447</v>
      </c>
      <c r="D46" s="6">
        <v>1007</v>
      </c>
      <c r="E46" s="179">
        <v>485</v>
      </c>
      <c r="F46" s="179">
        <v>77</v>
      </c>
      <c r="G46" s="179">
        <v>18</v>
      </c>
      <c r="H46" s="179">
        <v>13</v>
      </c>
      <c r="I46" s="179">
        <v>3</v>
      </c>
      <c r="J46" s="180">
        <f t="shared" si="0"/>
        <v>1603</v>
      </c>
      <c r="K46" s="190" t="str">
        <f t="shared" si="1"/>
        <v>SS</v>
      </c>
      <c r="L46" s="190"/>
      <c r="M46" s="190"/>
      <c r="N46" s="191"/>
      <c r="O46" s="191"/>
      <c r="P46" s="191"/>
      <c r="Q46" s="181">
        <f t="shared" si="2"/>
        <v>240000</v>
      </c>
      <c r="R46" s="175">
        <f t="shared" si="3"/>
        <v>240000</v>
      </c>
      <c r="S46" s="192"/>
    </row>
    <row r="47" spans="1:19" s="184" customFormat="1" ht="21.75" hidden="1" customHeight="1" x14ac:dyDescent="0.35">
      <c r="A47" s="184">
        <v>10768</v>
      </c>
      <c r="B47" s="196" t="s">
        <v>449</v>
      </c>
      <c r="C47" s="196" t="s">
        <v>450</v>
      </c>
      <c r="D47" s="3">
        <v>1641</v>
      </c>
      <c r="E47" s="179">
        <v>870</v>
      </c>
      <c r="F47" s="179">
        <v>206</v>
      </c>
      <c r="G47" s="179">
        <v>27</v>
      </c>
      <c r="H47" s="179">
        <v>30</v>
      </c>
      <c r="I47" s="179">
        <v>6</v>
      </c>
      <c r="J47" s="180">
        <f t="shared" si="0"/>
        <v>2780</v>
      </c>
      <c r="K47" s="190" t="str">
        <f t="shared" si="1"/>
        <v>S</v>
      </c>
      <c r="L47" s="190"/>
      <c r="M47" s="190"/>
      <c r="N47" s="191"/>
      <c r="O47" s="191"/>
      <c r="P47" s="191"/>
      <c r="Q47" s="181">
        <f t="shared" si="2"/>
        <v>300000</v>
      </c>
      <c r="R47" s="175">
        <f t="shared" si="3"/>
        <v>300000</v>
      </c>
      <c r="S47" s="192"/>
    </row>
    <row r="48" spans="1:19" s="184" customFormat="1" ht="21.75" hidden="1" customHeight="1" x14ac:dyDescent="0.35">
      <c r="A48" s="184">
        <v>10768</v>
      </c>
      <c r="B48" s="198" t="s">
        <v>451</v>
      </c>
      <c r="C48" s="198" t="s">
        <v>452</v>
      </c>
      <c r="D48" s="6">
        <v>2447</v>
      </c>
      <c r="E48" s="179">
        <v>1329</v>
      </c>
      <c r="F48" s="179">
        <v>359</v>
      </c>
      <c r="G48" s="179">
        <v>38</v>
      </c>
      <c r="H48" s="179">
        <v>50</v>
      </c>
      <c r="I48" s="179">
        <v>10</v>
      </c>
      <c r="J48" s="180">
        <f t="shared" si="0"/>
        <v>4233</v>
      </c>
      <c r="K48" s="190" t="str">
        <f t="shared" si="1"/>
        <v>M</v>
      </c>
      <c r="L48" s="190"/>
      <c r="M48" s="190"/>
      <c r="N48" s="191"/>
      <c r="O48" s="191"/>
      <c r="P48" s="191"/>
      <c r="Q48" s="181">
        <f t="shared" si="2"/>
        <v>330000</v>
      </c>
      <c r="R48" s="175">
        <f t="shared" si="3"/>
        <v>330000</v>
      </c>
      <c r="S48" s="192"/>
    </row>
    <row r="49" spans="1:19" s="184" customFormat="1" ht="21.75" hidden="1" customHeight="1" x14ac:dyDescent="0.35">
      <c r="A49" s="184">
        <v>10768</v>
      </c>
      <c r="B49" s="196" t="s">
        <v>453</v>
      </c>
      <c r="C49" s="196" t="s">
        <v>454</v>
      </c>
      <c r="D49" s="3">
        <v>2180</v>
      </c>
      <c r="E49" s="179">
        <v>1031</v>
      </c>
      <c r="F49" s="179">
        <v>268</v>
      </c>
      <c r="G49" s="179">
        <v>49</v>
      </c>
      <c r="H49" s="179">
        <v>47</v>
      </c>
      <c r="I49" s="179">
        <v>9</v>
      </c>
      <c r="J49" s="180">
        <f t="shared" si="0"/>
        <v>3584</v>
      </c>
      <c r="K49" s="190" t="str">
        <f t="shared" si="1"/>
        <v>M</v>
      </c>
      <c r="L49" s="190"/>
      <c r="M49" s="190"/>
      <c r="N49" s="191"/>
      <c r="O49" s="191"/>
      <c r="P49" s="191"/>
      <c r="Q49" s="181">
        <f t="shared" si="2"/>
        <v>330000</v>
      </c>
      <c r="R49" s="175">
        <f t="shared" si="3"/>
        <v>330000</v>
      </c>
      <c r="S49" s="192"/>
    </row>
    <row r="50" spans="1:19" s="184" customFormat="1" ht="21.75" hidden="1" customHeight="1" x14ac:dyDescent="0.35">
      <c r="A50" s="184">
        <v>10769</v>
      </c>
      <c r="B50" s="198" t="s">
        <v>461</v>
      </c>
      <c r="C50" s="198" t="s">
        <v>462</v>
      </c>
      <c r="D50" s="87">
        <v>2609</v>
      </c>
      <c r="E50" s="179">
        <v>1347</v>
      </c>
      <c r="F50" s="179">
        <v>539</v>
      </c>
      <c r="G50" s="179">
        <v>68</v>
      </c>
      <c r="H50" s="179">
        <v>61</v>
      </c>
      <c r="I50" s="179">
        <v>9</v>
      </c>
      <c r="J50" s="180">
        <f t="shared" si="0"/>
        <v>4633</v>
      </c>
      <c r="K50" s="190" t="str">
        <f t="shared" si="1"/>
        <v>M</v>
      </c>
      <c r="L50" s="190"/>
      <c r="M50" s="190"/>
      <c r="N50" s="191"/>
      <c r="O50" s="191"/>
      <c r="P50" s="191"/>
      <c r="Q50" s="181">
        <f t="shared" si="2"/>
        <v>330000</v>
      </c>
      <c r="R50" s="175">
        <f t="shared" si="3"/>
        <v>330000</v>
      </c>
      <c r="S50" s="192"/>
    </row>
    <row r="51" spans="1:19" s="184" customFormat="1" ht="21.75" hidden="1" customHeight="1" x14ac:dyDescent="0.35">
      <c r="A51" s="184">
        <v>10769</v>
      </c>
      <c r="B51" s="196" t="s">
        <v>455</v>
      </c>
      <c r="C51" s="196" t="s">
        <v>456</v>
      </c>
      <c r="D51" s="88">
        <v>2847</v>
      </c>
      <c r="E51" s="179">
        <v>1096</v>
      </c>
      <c r="F51" s="179">
        <v>298</v>
      </c>
      <c r="G51" s="179">
        <v>75</v>
      </c>
      <c r="H51" s="179">
        <v>50</v>
      </c>
      <c r="I51" s="179">
        <v>9</v>
      </c>
      <c r="J51" s="180">
        <f t="shared" si="0"/>
        <v>4375</v>
      </c>
      <c r="K51" s="190" t="str">
        <f t="shared" si="1"/>
        <v>M</v>
      </c>
      <c r="L51" s="190"/>
      <c r="M51" s="190"/>
      <c r="N51" s="191"/>
      <c r="O51" s="191"/>
      <c r="P51" s="191"/>
      <c r="Q51" s="181">
        <f t="shared" si="2"/>
        <v>330000</v>
      </c>
      <c r="R51" s="175">
        <f t="shared" si="3"/>
        <v>330000</v>
      </c>
      <c r="S51" s="192"/>
    </row>
    <row r="52" spans="1:19" s="184" customFormat="1" ht="21.75" hidden="1" customHeight="1" x14ac:dyDescent="0.35">
      <c r="A52" s="184">
        <v>10769</v>
      </c>
      <c r="B52" s="198" t="s">
        <v>463</v>
      </c>
      <c r="C52" s="198" t="s">
        <v>464</v>
      </c>
      <c r="D52" s="87">
        <v>3550</v>
      </c>
      <c r="E52" s="179">
        <v>494</v>
      </c>
      <c r="F52" s="179">
        <v>93</v>
      </c>
      <c r="G52" s="179">
        <v>8</v>
      </c>
      <c r="H52" s="179">
        <v>14</v>
      </c>
      <c r="I52" s="179">
        <v>6</v>
      </c>
      <c r="J52" s="180">
        <f t="shared" si="0"/>
        <v>4165</v>
      </c>
      <c r="K52" s="190" t="str">
        <f t="shared" si="1"/>
        <v>M</v>
      </c>
      <c r="L52" s="190"/>
      <c r="M52" s="190"/>
      <c r="N52" s="191"/>
      <c r="O52" s="191"/>
      <c r="P52" s="191"/>
      <c r="Q52" s="181">
        <f t="shared" si="2"/>
        <v>330000</v>
      </c>
      <c r="R52" s="175">
        <f t="shared" si="3"/>
        <v>330000</v>
      </c>
      <c r="S52" s="192"/>
    </row>
    <row r="53" spans="1:19" s="184" customFormat="1" ht="21.75" hidden="1" customHeight="1" x14ac:dyDescent="0.35">
      <c r="A53" s="184">
        <v>10769</v>
      </c>
      <c r="B53" s="196" t="s">
        <v>465</v>
      </c>
      <c r="C53" s="196" t="s">
        <v>466</v>
      </c>
      <c r="D53" s="88">
        <v>2236</v>
      </c>
      <c r="E53" s="179">
        <v>1017</v>
      </c>
      <c r="F53" s="179">
        <v>247</v>
      </c>
      <c r="G53" s="179">
        <v>18</v>
      </c>
      <c r="H53" s="179">
        <v>35</v>
      </c>
      <c r="I53" s="179">
        <v>3</v>
      </c>
      <c r="J53" s="180">
        <f t="shared" si="0"/>
        <v>3556</v>
      </c>
      <c r="K53" s="190" t="str">
        <f t="shared" si="1"/>
        <v>M</v>
      </c>
      <c r="L53" s="190"/>
      <c r="M53" s="190"/>
      <c r="N53" s="191"/>
      <c r="O53" s="191"/>
      <c r="P53" s="191"/>
      <c r="Q53" s="181">
        <f t="shared" si="2"/>
        <v>330000</v>
      </c>
      <c r="R53" s="175">
        <f t="shared" si="3"/>
        <v>330000</v>
      </c>
      <c r="S53" s="192"/>
    </row>
    <row r="54" spans="1:19" s="184" customFormat="1" ht="21.75" hidden="1" customHeight="1" x14ac:dyDescent="0.35">
      <c r="A54" s="184">
        <v>10769</v>
      </c>
      <c r="B54" s="198" t="s">
        <v>467</v>
      </c>
      <c r="C54" s="198" t="s">
        <v>468</v>
      </c>
      <c r="D54" s="87">
        <v>2190</v>
      </c>
      <c r="E54" s="179">
        <v>1052</v>
      </c>
      <c r="F54" s="179">
        <v>162</v>
      </c>
      <c r="G54" s="179">
        <v>35</v>
      </c>
      <c r="H54" s="179">
        <v>34</v>
      </c>
      <c r="I54" s="179">
        <v>5</v>
      </c>
      <c r="J54" s="180">
        <f t="shared" si="0"/>
        <v>3478</v>
      </c>
      <c r="K54" s="190" t="str">
        <f t="shared" si="1"/>
        <v>M</v>
      </c>
      <c r="L54" s="190"/>
      <c r="M54" s="190"/>
      <c r="N54" s="191"/>
      <c r="O54" s="191"/>
      <c r="P54" s="191"/>
      <c r="Q54" s="181">
        <f t="shared" si="2"/>
        <v>330000</v>
      </c>
      <c r="R54" s="175">
        <f t="shared" si="3"/>
        <v>330000</v>
      </c>
      <c r="S54" s="192"/>
    </row>
    <row r="55" spans="1:19" s="184" customFormat="1" ht="21.75" hidden="1" customHeight="1" x14ac:dyDescent="0.35">
      <c r="A55" s="184">
        <v>10769</v>
      </c>
      <c r="B55" s="196" t="s">
        <v>469</v>
      </c>
      <c r="C55" s="196" t="s">
        <v>470</v>
      </c>
      <c r="D55" s="88">
        <v>1763</v>
      </c>
      <c r="E55" s="179">
        <v>867</v>
      </c>
      <c r="F55" s="179">
        <v>223</v>
      </c>
      <c r="G55" s="179">
        <v>39</v>
      </c>
      <c r="H55" s="179">
        <v>34</v>
      </c>
      <c r="I55" s="179">
        <v>4</v>
      </c>
      <c r="J55" s="180">
        <f t="shared" si="0"/>
        <v>2930</v>
      </c>
      <c r="K55" s="190" t="str">
        <f t="shared" si="1"/>
        <v>S</v>
      </c>
      <c r="L55" s="190"/>
      <c r="M55" s="190"/>
      <c r="N55" s="191"/>
      <c r="O55" s="191"/>
      <c r="P55" s="191"/>
      <c r="Q55" s="181">
        <f t="shared" si="2"/>
        <v>300000</v>
      </c>
      <c r="R55" s="175">
        <f t="shared" si="3"/>
        <v>300000</v>
      </c>
      <c r="S55" s="192"/>
    </row>
    <row r="56" spans="1:19" s="184" customFormat="1" ht="21.75" hidden="1" customHeight="1" x14ac:dyDescent="0.35">
      <c r="A56" s="184">
        <v>10769</v>
      </c>
      <c r="B56" s="198" t="s">
        <v>471</v>
      </c>
      <c r="C56" s="198" t="s">
        <v>472</v>
      </c>
      <c r="D56" s="87">
        <v>1342</v>
      </c>
      <c r="E56" s="179">
        <v>680</v>
      </c>
      <c r="F56" s="179">
        <v>126</v>
      </c>
      <c r="G56" s="179">
        <v>18</v>
      </c>
      <c r="H56" s="179">
        <v>23</v>
      </c>
      <c r="I56" s="179">
        <v>3</v>
      </c>
      <c r="J56" s="180">
        <f t="shared" si="0"/>
        <v>2192</v>
      </c>
      <c r="K56" s="190" t="str">
        <f t="shared" si="1"/>
        <v>S</v>
      </c>
      <c r="L56" s="190"/>
      <c r="M56" s="190"/>
      <c r="N56" s="191"/>
      <c r="O56" s="191"/>
      <c r="P56" s="191"/>
      <c r="Q56" s="181">
        <f t="shared" si="2"/>
        <v>300000</v>
      </c>
      <c r="R56" s="175">
        <f t="shared" si="3"/>
        <v>300000</v>
      </c>
      <c r="S56" s="192"/>
    </row>
    <row r="57" spans="1:19" s="184" customFormat="1" ht="21.75" hidden="1" customHeight="1" x14ac:dyDescent="0.35">
      <c r="A57" s="184">
        <v>10769</v>
      </c>
      <c r="B57" s="196" t="s">
        <v>473</v>
      </c>
      <c r="C57" s="196" t="s">
        <v>474</v>
      </c>
      <c r="D57" s="88">
        <v>1082</v>
      </c>
      <c r="E57" s="179">
        <v>508</v>
      </c>
      <c r="F57" s="179">
        <v>190</v>
      </c>
      <c r="G57" s="179">
        <v>16</v>
      </c>
      <c r="H57" s="179">
        <v>18</v>
      </c>
      <c r="I57" s="179">
        <v>2</v>
      </c>
      <c r="J57" s="180">
        <f t="shared" si="0"/>
        <v>1816</v>
      </c>
      <c r="K57" s="190" t="str">
        <f t="shared" si="1"/>
        <v>SS</v>
      </c>
      <c r="L57" s="190"/>
      <c r="M57" s="190"/>
      <c r="N57" s="191"/>
      <c r="O57" s="191"/>
      <c r="P57" s="191"/>
      <c r="Q57" s="181">
        <f t="shared" si="2"/>
        <v>240000</v>
      </c>
      <c r="R57" s="175">
        <f t="shared" si="3"/>
        <v>240000</v>
      </c>
      <c r="S57" s="192"/>
    </row>
    <row r="58" spans="1:19" s="184" customFormat="1" ht="21.75" hidden="1" customHeight="1" x14ac:dyDescent="0.35">
      <c r="A58" s="184">
        <v>10769</v>
      </c>
      <c r="B58" s="198" t="s">
        <v>475</v>
      </c>
      <c r="C58" s="198" t="s">
        <v>476</v>
      </c>
      <c r="D58" s="87">
        <v>1313</v>
      </c>
      <c r="E58" s="179">
        <v>621</v>
      </c>
      <c r="F58" s="179">
        <v>119</v>
      </c>
      <c r="G58" s="179">
        <v>9</v>
      </c>
      <c r="H58" s="179">
        <v>11</v>
      </c>
      <c r="I58" s="179">
        <v>3</v>
      </c>
      <c r="J58" s="180">
        <f t="shared" si="0"/>
        <v>2076</v>
      </c>
      <c r="K58" s="190" t="str">
        <f t="shared" si="1"/>
        <v>S</v>
      </c>
      <c r="L58" s="190"/>
      <c r="M58" s="190"/>
      <c r="N58" s="191"/>
      <c r="O58" s="191"/>
      <c r="P58" s="191"/>
      <c r="Q58" s="181">
        <f t="shared" si="2"/>
        <v>300000</v>
      </c>
      <c r="R58" s="175">
        <f t="shared" si="3"/>
        <v>300000</v>
      </c>
      <c r="S58" s="192"/>
    </row>
    <row r="59" spans="1:19" s="184" customFormat="1" ht="21.75" hidden="1" customHeight="1" x14ac:dyDescent="0.35">
      <c r="A59" s="184">
        <v>10769</v>
      </c>
      <c r="B59" s="196" t="s">
        <v>477</v>
      </c>
      <c r="C59" s="196" t="s">
        <v>478</v>
      </c>
      <c r="D59" s="88">
        <v>1329</v>
      </c>
      <c r="E59" s="179">
        <v>760</v>
      </c>
      <c r="F59" s="179">
        <v>143</v>
      </c>
      <c r="G59" s="179">
        <v>13</v>
      </c>
      <c r="H59" s="179">
        <v>25</v>
      </c>
      <c r="I59" s="179">
        <v>2</v>
      </c>
      <c r="J59" s="180">
        <f t="shared" si="0"/>
        <v>2272</v>
      </c>
      <c r="K59" s="190" t="str">
        <f t="shared" si="1"/>
        <v>S</v>
      </c>
      <c r="L59" s="190"/>
      <c r="M59" s="190"/>
      <c r="N59" s="191"/>
      <c r="O59" s="191"/>
      <c r="P59" s="191"/>
      <c r="Q59" s="181">
        <f t="shared" si="2"/>
        <v>300000</v>
      </c>
      <c r="R59" s="175">
        <f t="shared" si="3"/>
        <v>300000</v>
      </c>
      <c r="S59" s="192"/>
    </row>
    <row r="60" spans="1:19" s="184" customFormat="1" ht="21.75" hidden="1" customHeight="1" x14ac:dyDescent="0.35">
      <c r="A60" s="184">
        <v>10769</v>
      </c>
      <c r="B60" s="198" t="s">
        <v>457</v>
      </c>
      <c r="C60" s="198" t="s">
        <v>458</v>
      </c>
      <c r="D60" s="87">
        <v>770</v>
      </c>
      <c r="E60" s="179">
        <v>349</v>
      </c>
      <c r="F60" s="179">
        <v>83</v>
      </c>
      <c r="G60" s="179">
        <v>20</v>
      </c>
      <c r="H60" s="179">
        <v>20</v>
      </c>
      <c r="I60" s="179">
        <v>4</v>
      </c>
      <c r="J60" s="180">
        <f t="shared" si="0"/>
        <v>1246</v>
      </c>
      <c r="K60" s="190" t="str">
        <f t="shared" si="1"/>
        <v>SS</v>
      </c>
      <c r="L60" s="190"/>
      <c r="M60" s="190"/>
      <c r="N60" s="191"/>
      <c r="O60" s="191"/>
      <c r="P60" s="191"/>
      <c r="Q60" s="181">
        <f t="shared" si="2"/>
        <v>240000</v>
      </c>
      <c r="R60" s="175">
        <f t="shared" si="3"/>
        <v>240000</v>
      </c>
      <c r="S60" s="192"/>
    </row>
    <row r="61" spans="1:19" s="184" customFormat="1" ht="21.75" hidden="1" customHeight="1" x14ac:dyDescent="0.35">
      <c r="A61" s="184">
        <v>10769</v>
      </c>
      <c r="B61" s="196" t="s">
        <v>479</v>
      </c>
      <c r="C61" s="196" t="s">
        <v>480</v>
      </c>
      <c r="D61" s="88">
        <v>1171</v>
      </c>
      <c r="E61" s="179">
        <v>578</v>
      </c>
      <c r="F61" s="179">
        <v>175</v>
      </c>
      <c r="G61" s="179">
        <v>10</v>
      </c>
      <c r="H61" s="179">
        <v>22</v>
      </c>
      <c r="I61" s="179">
        <v>1</v>
      </c>
      <c r="J61" s="180">
        <f t="shared" si="0"/>
        <v>1957</v>
      </c>
      <c r="K61" s="190" t="str">
        <f t="shared" si="1"/>
        <v>SS</v>
      </c>
      <c r="L61" s="190"/>
      <c r="M61" s="190"/>
      <c r="N61" s="191"/>
      <c r="O61" s="191"/>
      <c r="P61" s="191"/>
      <c r="Q61" s="181">
        <f t="shared" si="2"/>
        <v>240000</v>
      </c>
      <c r="R61" s="175">
        <f t="shared" si="3"/>
        <v>240000</v>
      </c>
      <c r="S61" s="192"/>
    </row>
    <row r="62" spans="1:19" s="184" customFormat="1" ht="21.75" hidden="1" customHeight="1" x14ac:dyDescent="0.35">
      <c r="A62" s="184">
        <v>10770</v>
      </c>
      <c r="B62" s="196" t="s">
        <v>351</v>
      </c>
      <c r="C62" s="196" t="s">
        <v>352</v>
      </c>
      <c r="D62" s="3">
        <v>1805</v>
      </c>
      <c r="E62" s="179">
        <v>616</v>
      </c>
      <c r="F62" s="179">
        <v>85</v>
      </c>
      <c r="G62" s="179">
        <v>12</v>
      </c>
      <c r="H62" s="179">
        <v>20</v>
      </c>
      <c r="I62" s="179">
        <v>3</v>
      </c>
      <c r="J62" s="180">
        <f t="shared" si="0"/>
        <v>2541</v>
      </c>
      <c r="K62" s="190" t="str">
        <f t="shared" si="1"/>
        <v>S</v>
      </c>
      <c r="L62" s="190"/>
      <c r="M62" s="190"/>
      <c r="N62" s="191"/>
      <c r="O62" s="191"/>
      <c r="P62" s="191"/>
      <c r="Q62" s="181">
        <f t="shared" si="2"/>
        <v>300000</v>
      </c>
      <c r="R62" s="175">
        <f t="shared" si="3"/>
        <v>300000</v>
      </c>
      <c r="S62" s="192"/>
    </row>
    <row r="63" spans="1:19" s="184" customFormat="1" ht="21.75" hidden="1" customHeight="1" x14ac:dyDescent="0.35">
      <c r="A63" s="184">
        <v>10770</v>
      </c>
      <c r="B63" s="198" t="s">
        <v>489</v>
      </c>
      <c r="C63" s="198" t="s">
        <v>490</v>
      </c>
      <c r="D63" s="6">
        <v>1492</v>
      </c>
      <c r="E63" s="179">
        <v>852</v>
      </c>
      <c r="F63" s="179">
        <v>140</v>
      </c>
      <c r="G63" s="179">
        <v>22</v>
      </c>
      <c r="H63" s="179">
        <v>24</v>
      </c>
      <c r="I63" s="179">
        <v>8</v>
      </c>
      <c r="J63" s="180">
        <f t="shared" si="0"/>
        <v>2538</v>
      </c>
      <c r="K63" s="190" t="str">
        <f t="shared" si="1"/>
        <v>S</v>
      </c>
      <c r="L63" s="190"/>
      <c r="M63" s="190"/>
      <c r="N63" s="191"/>
      <c r="O63" s="191"/>
      <c r="P63" s="191"/>
      <c r="Q63" s="181">
        <f t="shared" si="2"/>
        <v>300000</v>
      </c>
      <c r="R63" s="175">
        <f t="shared" si="3"/>
        <v>300000</v>
      </c>
      <c r="S63" s="192"/>
    </row>
    <row r="64" spans="1:19" s="184" customFormat="1" ht="21.75" hidden="1" customHeight="1" x14ac:dyDescent="0.35">
      <c r="A64" s="184">
        <v>10770</v>
      </c>
      <c r="B64" s="196" t="s">
        <v>294</v>
      </c>
      <c r="C64" s="196" t="s">
        <v>295</v>
      </c>
      <c r="D64" s="3">
        <v>440</v>
      </c>
      <c r="E64" s="179">
        <v>228</v>
      </c>
      <c r="F64" s="179">
        <v>74</v>
      </c>
      <c r="G64" s="179">
        <v>15</v>
      </c>
      <c r="H64" s="179">
        <v>11</v>
      </c>
      <c r="I64" s="179">
        <v>0</v>
      </c>
      <c r="J64" s="180">
        <f t="shared" si="0"/>
        <v>768</v>
      </c>
      <c r="K64" s="190" t="str">
        <f t="shared" si="1"/>
        <v>SSS</v>
      </c>
      <c r="L64" s="190"/>
      <c r="M64" s="190"/>
      <c r="N64" s="191"/>
      <c r="O64" s="191"/>
      <c r="P64" s="191"/>
      <c r="Q64" s="181">
        <f t="shared" si="2"/>
        <v>192000</v>
      </c>
      <c r="R64" s="175">
        <f t="shared" si="3"/>
        <v>192000</v>
      </c>
      <c r="S64" s="192"/>
    </row>
    <row r="65" spans="1:19" s="184" customFormat="1" ht="21.75" hidden="1" customHeight="1" x14ac:dyDescent="0.35">
      <c r="A65" s="184">
        <v>10770</v>
      </c>
      <c r="B65" s="198" t="s">
        <v>353</v>
      </c>
      <c r="C65" s="198" t="s">
        <v>354</v>
      </c>
      <c r="D65" s="6">
        <v>519</v>
      </c>
      <c r="E65" s="179">
        <v>220</v>
      </c>
      <c r="F65" s="179">
        <v>80</v>
      </c>
      <c r="G65" s="179">
        <v>11</v>
      </c>
      <c r="H65" s="179">
        <v>11</v>
      </c>
      <c r="I65" s="179">
        <v>2</v>
      </c>
      <c r="J65" s="180">
        <f t="shared" si="0"/>
        <v>843</v>
      </c>
      <c r="K65" s="190" t="str">
        <f t="shared" si="1"/>
        <v>SSS</v>
      </c>
      <c r="L65" s="190"/>
      <c r="M65" s="190"/>
      <c r="N65" s="191"/>
      <c r="O65" s="191"/>
      <c r="P65" s="191"/>
      <c r="Q65" s="181">
        <f t="shared" si="2"/>
        <v>192000</v>
      </c>
      <c r="R65" s="175">
        <f t="shared" si="3"/>
        <v>192000</v>
      </c>
      <c r="S65" s="192"/>
    </row>
    <row r="66" spans="1:19" s="184" customFormat="1" ht="21.75" hidden="1" customHeight="1" x14ac:dyDescent="0.35">
      <c r="A66" s="184">
        <v>10770</v>
      </c>
      <c r="B66" s="196" t="s">
        <v>355</v>
      </c>
      <c r="C66" s="196" t="s">
        <v>356</v>
      </c>
      <c r="D66" s="3">
        <v>788</v>
      </c>
      <c r="E66" s="179">
        <v>466</v>
      </c>
      <c r="F66" s="179">
        <v>122</v>
      </c>
      <c r="G66" s="179">
        <v>19</v>
      </c>
      <c r="H66" s="179">
        <v>29</v>
      </c>
      <c r="I66" s="179">
        <v>4</v>
      </c>
      <c r="J66" s="180">
        <f t="shared" si="0"/>
        <v>1428</v>
      </c>
      <c r="K66" s="190" t="str">
        <f t="shared" si="1"/>
        <v>SS</v>
      </c>
      <c r="L66" s="190"/>
      <c r="M66" s="190"/>
      <c r="N66" s="191"/>
      <c r="O66" s="191"/>
      <c r="P66" s="191"/>
      <c r="Q66" s="181">
        <f t="shared" si="2"/>
        <v>240000</v>
      </c>
      <c r="R66" s="175">
        <f t="shared" si="3"/>
        <v>240000</v>
      </c>
      <c r="S66" s="192"/>
    </row>
    <row r="67" spans="1:19" s="184" customFormat="1" ht="21.75" hidden="1" customHeight="1" x14ac:dyDescent="0.35">
      <c r="A67" s="184">
        <v>10770</v>
      </c>
      <c r="B67" s="198" t="s">
        <v>296</v>
      </c>
      <c r="C67" s="198" t="s">
        <v>297</v>
      </c>
      <c r="D67" s="6">
        <v>491</v>
      </c>
      <c r="E67" s="179">
        <v>288</v>
      </c>
      <c r="F67" s="179">
        <v>57</v>
      </c>
      <c r="G67" s="179">
        <v>10</v>
      </c>
      <c r="H67" s="179">
        <v>11</v>
      </c>
      <c r="I67" s="179">
        <v>0</v>
      </c>
      <c r="J67" s="180">
        <f t="shared" si="0"/>
        <v>857</v>
      </c>
      <c r="K67" s="190" t="str">
        <f t="shared" si="1"/>
        <v>SSS</v>
      </c>
      <c r="L67" s="190"/>
      <c r="M67" s="190"/>
      <c r="N67" s="191"/>
      <c r="O67" s="191"/>
      <c r="P67" s="191"/>
      <c r="Q67" s="181">
        <f t="shared" si="2"/>
        <v>192000</v>
      </c>
      <c r="R67" s="175">
        <f t="shared" si="3"/>
        <v>192000</v>
      </c>
      <c r="S67" s="192"/>
    </row>
    <row r="68" spans="1:19" s="184" customFormat="1" ht="21.75" hidden="1" customHeight="1" x14ac:dyDescent="0.35">
      <c r="A68" s="184">
        <v>10770</v>
      </c>
      <c r="B68" s="196" t="s">
        <v>357</v>
      </c>
      <c r="C68" s="196" t="s">
        <v>358</v>
      </c>
      <c r="D68" s="3">
        <v>707</v>
      </c>
      <c r="E68" s="179">
        <v>313</v>
      </c>
      <c r="F68" s="179">
        <v>66</v>
      </c>
      <c r="G68" s="179">
        <v>11</v>
      </c>
      <c r="H68" s="179">
        <v>16</v>
      </c>
      <c r="I68" s="179">
        <v>2</v>
      </c>
      <c r="J68" s="180">
        <f t="shared" si="0"/>
        <v>1115</v>
      </c>
      <c r="K68" s="190" t="str">
        <f t="shared" si="1"/>
        <v>SS</v>
      </c>
      <c r="L68" s="190"/>
      <c r="M68" s="190"/>
      <c r="N68" s="191"/>
      <c r="O68" s="191"/>
      <c r="P68" s="191"/>
      <c r="Q68" s="181">
        <f t="shared" si="2"/>
        <v>240000</v>
      </c>
      <c r="R68" s="175">
        <f t="shared" si="3"/>
        <v>240000</v>
      </c>
      <c r="S68" s="192"/>
    </row>
    <row r="69" spans="1:19" s="184" customFormat="1" ht="21.75" hidden="1" customHeight="1" x14ac:dyDescent="0.35">
      <c r="A69" s="184">
        <v>10770</v>
      </c>
      <c r="B69" s="198" t="s">
        <v>359</v>
      </c>
      <c r="C69" s="198" t="s">
        <v>360</v>
      </c>
      <c r="D69" s="6">
        <v>813</v>
      </c>
      <c r="E69" s="179">
        <v>488</v>
      </c>
      <c r="F69" s="179">
        <v>73</v>
      </c>
      <c r="G69" s="179">
        <v>5</v>
      </c>
      <c r="H69" s="179">
        <v>19</v>
      </c>
      <c r="I69" s="179">
        <v>1</v>
      </c>
      <c r="J69" s="180">
        <f t="shared" ref="J69:J132" si="4">SUM(D69:I69)</f>
        <v>1399</v>
      </c>
      <c r="K69" s="190" t="str">
        <f t="shared" ref="K69:K132" si="5">VLOOKUP(J69,$P$212:$Q$217,2)</f>
        <v>SS</v>
      </c>
      <c r="L69" s="190"/>
      <c r="M69" s="190"/>
      <c r="N69" s="191"/>
      <c r="O69" s="191"/>
      <c r="P69" s="191"/>
      <c r="Q69" s="181">
        <f t="shared" ref="Q69:Q132" si="6">VLOOKUP(J69,$P$219:$Q$224,2)</f>
        <v>240000</v>
      </c>
      <c r="R69" s="175">
        <f t="shared" si="3"/>
        <v>240000</v>
      </c>
      <c r="S69" s="192"/>
    </row>
    <row r="70" spans="1:19" s="184" customFormat="1" ht="21.75" hidden="1" customHeight="1" x14ac:dyDescent="0.35">
      <c r="A70" s="184">
        <v>10770</v>
      </c>
      <c r="B70" s="196" t="s">
        <v>298</v>
      </c>
      <c r="C70" s="196" t="s">
        <v>299</v>
      </c>
      <c r="D70" s="3">
        <v>978</v>
      </c>
      <c r="E70" s="179">
        <v>427</v>
      </c>
      <c r="F70" s="179">
        <v>116</v>
      </c>
      <c r="G70" s="179">
        <v>21</v>
      </c>
      <c r="H70" s="179">
        <v>18</v>
      </c>
      <c r="I70" s="179">
        <v>1</v>
      </c>
      <c r="J70" s="180">
        <f t="shared" si="4"/>
        <v>1561</v>
      </c>
      <c r="K70" s="190" t="str">
        <f t="shared" si="5"/>
        <v>SS</v>
      </c>
      <c r="L70" s="190"/>
      <c r="M70" s="190"/>
      <c r="N70" s="191"/>
      <c r="O70" s="191"/>
      <c r="P70" s="191"/>
      <c r="Q70" s="181">
        <f t="shared" si="6"/>
        <v>240000</v>
      </c>
      <c r="R70" s="175">
        <f t="shared" si="3"/>
        <v>240000</v>
      </c>
      <c r="S70" s="192"/>
    </row>
    <row r="71" spans="1:19" s="184" customFormat="1" ht="21.75" hidden="1" customHeight="1" x14ac:dyDescent="0.35">
      <c r="A71" s="184">
        <v>10770</v>
      </c>
      <c r="B71" s="198" t="s">
        <v>300</v>
      </c>
      <c r="C71" s="198" t="s">
        <v>301</v>
      </c>
      <c r="D71" s="6">
        <v>1244</v>
      </c>
      <c r="E71" s="179">
        <v>545</v>
      </c>
      <c r="F71" s="179">
        <v>114</v>
      </c>
      <c r="G71" s="179">
        <v>19</v>
      </c>
      <c r="H71" s="179">
        <v>25</v>
      </c>
      <c r="I71" s="179">
        <v>3</v>
      </c>
      <c r="J71" s="180">
        <f t="shared" si="4"/>
        <v>1950</v>
      </c>
      <c r="K71" s="190" t="str">
        <f t="shared" si="5"/>
        <v>SS</v>
      </c>
      <c r="L71" s="190"/>
      <c r="M71" s="190"/>
      <c r="N71" s="191"/>
      <c r="O71" s="191"/>
      <c r="P71" s="191"/>
      <c r="Q71" s="181">
        <f t="shared" si="6"/>
        <v>240000</v>
      </c>
      <c r="R71" s="175">
        <f t="shared" ref="R71:R134" si="7">VLOOKUP(J71,$P$219:$Q$224,2)</f>
        <v>240000</v>
      </c>
      <c r="S71" s="192"/>
    </row>
    <row r="72" spans="1:19" s="184" customFormat="1" ht="21.75" hidden="1" customHeight="1" x14ac:dyDescent="0.35">
      <c r="A72" s="184">
        <v>10770</v>
      </c>
      <c r="B72" s="196" t="s">
        <v>302</v>
      </c>
      <c r="C72" s="196" t="s">
        <v>303</v>
      </c>
      <c r="D72" s="3">
        <v>750</v>
      </c>
      <c r="E72" s="179">
        <v>277</v>
      </c>
      <c r="F72" s="179">
        <v>58</v>
      </c>
      <c r="G72" s="179">
        <v>11</v>
      </c>
      <c r="H72" s="179">
        <v>9</v>
      </c>
      <c r="I72" s="179">
        <v>0</v>
      </c>
      <c r="J72" s="180">
        <f t="shared" si="4"/>
        <v>1105</v>
      </c>
      <c r="K72" s="190" t="str">
        <f t="shared" si="5"/>
        <v>SS</v>
      </c>
      <c r="L72" s="190"/>
      <c r="M72" s="190"/>
      <c r="N72" s="191"/>
      <c r="O72" s="191"/>
      <c r="P72" s="191"/>
      <c r="Q72" s="181">
        <f t="shared" si="6"/>
        <v>240000</v>
      </c>
      <c r="R72" s="175">
        <f t="shared" si="7"/>
        <v>240000</v>
      </c>
      <c r="S72" s="192"/>
    </row>
    <row r="73" spans="1:19" s="184" customFormat="1" ht="21.75" hidden="1" customHeight="1" x14ac:dyDescent="0.35">
      <c r="A73" s="184">
        <v>10770</v>
      </c>
      <c r="B73" s="198" t="s">
        <v>361</v>
      </c>
      <c r="C73" s="198" t="s">
        <v>362</v>
      </c>
      <c r="D73" s="6">
        <v>1053</v>
      </c>
      <c r="E73" s="179">
        <v>551</v>
      </c>
      <c r="F73" s="179">
        <v>81</v>
      </c>
      <c r="G73" s="179">
        <v>16</v>
      </c>
      <c r="H73" s="179">
        <v>17</v>
      </c>
      <c r="I73" s="179">
        <v>2</v>
      </c>
      <c r="J73" s="180">
        <f t="shared" si="4"/>
        <v>1720</v>
      </c>
      <c r="K73" s="190" t="str">
        <f t="shared" si="5"/>
        <v>SS</v>
      </c>
      <c r="L73" s="190"/>
      <c r="M73" s="190"/>
      <c r="N73" s="191"/>
      <c r="O73" s="191"/>
      <c r="P73" s="191"/>
      <c r="Q73" s="181">
        <f t="shared" si="6"/>
        <v>240000</v>
      </c>
      <c r="R73" s="175">
        <f t="shared" si="7"/>
        <v>240000</v>
      </c>
      <c r="S73" s="192"/>
    </row>
    <row r="74" spans="1:19" s="184" customFormat="1" ht="21.75" hidden="1" customHeight="1" x14ac:dyDescent="0.35">
      <c r="A74" s="184">
        <v>10770</v>
      </c>
      <c r="B74" s="196" t="s">
        <v>363</v>
      </c>
      <c r="C74" s="196" t="s">
        <v>364</v>
      </c>
      <c r="D74" s="3">
        <v>1369</v>
      </c>
      <c r="E74" s="179">
        <v>579</v>
      </c>
      <c r="F74" s="179">
        <v>72</v>
      </c>
      <c r="G74" s="179">
        <v>0</v>
      </c>
      <c r="H74" s="179">
        <v>11</v>
      </c>
      <c r="I74" s="179">
        <v>0</v>
      </c>
      <c r="J74" s="180">
        <f t="shared" si="4"/>
        <v>2031</v>
      </c>
      <c r="K74" s="190" t="str">
        <f t="shared" si="5"/>
        <v>S</v>
      </c>
      <c r="L74" s="190"/>
      <c r="M74" s="190"/>
      <c r="N74" s="191"/>
      <c r="O74" s="191"/>
      <c r="P74" s="191"/>
      <c r="Q74" s="181">
        <f t="shared" si="6"/>
        <v>300000</v>
      </c>
      <c r="R74" s="175">
        <f t="shared" si="7"/>
        <v>300000</v>
      </c>
      <c r="S74" s="192"/>
    </row>
    <row r="75" spans="1:19" s="184" customFormat="1" ht="21.75" hidden="1" customHeight="1" x14ac:dyDescent="0.35">
      <c r="A75" s="184">
        <v>10770</v>
      </c>
      <c r="B75" s="198" t="s">
        <v>365</v>
      </c>
      <c r="C75" s="198" t="s">
        <v>366</v>
      </c>
      <c r="D75" s="6">
        <v>1436</v>
      </c>
      <c r="E75" s="179">
        <v>491</v>
      </c>
      <c r="F75" s="179">
        <v>69</v>
      </c>
      <c r="G75" s="179">
        <v>2</v>
      </c>
      <c r="H75" s="179">
        <v>13</v>
      </c>
      <c r="I75" s="179">
        <v>5</v>
      </c>
      <c r="J75" s="180">
        <f t="shared" si="4"/>
        <v>2016</v>
      </c>
      <c r="K75" s="190" t="str">
        <f t="shared" si="5"/>
        <v>S</v>
      </c>
      <c r="L75" s="190"/>
      <c r="M75" s="190"/>
      <c r="N75" s="191"/>
      <c r="O75" s="191"/>
      <c r="P75" s="191"/>
      <c r="Q75" s="181">
        <f t="shared" si="6"/>
        <v>300000</v>
      </c>
      <c r="R75" s="175">
        <f t="shared" si="7"/>
        <v>300000</v>
      </c>
      <c r="S75" s="192"/>
    </row>
    <row r="76" spans="1:19" s="184" customFormat="1" ht="21.75" hidden="1" customHeight="1" x14ac:dyDescent="0.35">
      <c r="A76" s="184">
        <v>10770</v>
      </c>
      <c r="B76" s="196" t="s">
        <v>367</v>
      </c>
      <c r="C76" s="196" t="s">
        <v>368</v>
      </c>
      <c r="D76" s="3">
        <v>2814</v>
      </c>
      <c r="E76" s="179">
        <v>1212</v>
      </c>
      <c r="F76" s="179">
        <v>328</v>
      </c>
      <c r="G76" s="179">
        <v>25</v>
      </c>
      <c r="H76" s="179">
        <v>67</v>
      </c>
      <c r="I76" s="179">
        <v>16</v>
      </c>
      <c r="J76" s="180">
        <f t="shared" si="4"/>
        <v>4462</v>
      </c>
      <c r="K76" s="190" t="str">
        <f t="shared" si="5"/>
        <v>M</v>
      </c>
      <c r="L76" s="190"/>
      <c r="M76" s="190"/>
      <c r="N76" s="191"/>
      <c r="O76" s="191"/>
      <c r="P76" s="191"/>
      <c r="Q76" s="181">
        <f t="shared" si="6"/>
        <v>330000</v>
      </c>
      <c r="R76" s="175">
        <f t="shared" si="7"/>
        <v>330000</v>
      </c>
      <c r="S76" s="192"/>
    </row>
    <row r="77" spans="1:19" s="184" customFormat="1" ht="21.75" hidden="1" customHeight="1" x14ac:dyDescent="0.35">
      <c r="A77" s="184">
        <v>10770</v>
      </c>
      <c r="B77" s="198" t="s">
        <v>369</v>
      </c>
      <c r="C77" s="198" t="s">
        <v>370</v>
      </c>
      <c r="D77" s="6">
        <v>1846</v>
      </c>
      <c r="E77" s="179">
        <v>908</v>
      </c>
      <c r="F77" s="179">
        <v>324</v>
      </c>
      <c r="G77" s="179">
        <v>19</v>
      </c>
      <c r="H77" s="179">
        <v>57</v>
      </c>
      <c r="I77" s="179">
        <v>4</v>
      </c>
      <c r="J77" s="180">
        <f t="shared" si="4"/>
        <v>3158</v>
      </c>
      <c r="K77" s="190" t="str">
        <f t="shared" si="5"/>
        <v>M</v>
      </c>
      <c r="L77" s="190"/>
      <c r="M77" s="190"/>
      <c r="N77" s="191"/>
      <c r="O77" s="191"/>
      <c r="P77" s="191"/>
      <c r="Q77" s="181">
        <f t="shared" si="6"/>
        <v>330000</v>
      </c>
      <c r="R77" s="175">
        <f t="shared" si="7"/>
        <v>330000</v>
      </c>
      <c r="S77" s="192"/>
    </row>
    <row r="78" spans="1:19" s="184" customFormat="1" ht="21.75" hidden="1" customHeight="1" x14ac:dyDescent="0.35">
      <c r="A78" s="184">
        <v>10770</v>
      </c>
      <c r="B78" s="196" t="s">
        <v>371</v>
      </c>
      <c r="C78" s="196" t="s">
        <v>283</v>
      </c>
      <c r="D78" s="3">
        <v>887</v>
      </c>
      <c r="E78" s="179">
        <v>386</v>
      </c>
      <c r="F78" s="179">
        <v>94</v>
      </c>
      <c r="G78" s="179">
        <v>8</v>
      </c>
      <c r="H78" s="179">
        <v>14</v>
      </c>
      <c r="I78" s="179">
        <v>2</v>
      </c>
      <c r="J78" s="180">
        <f t="shared" si="4"/>
        <v>1391</v>
      </c>
      <c r="K78" s="190" t="str">
        <f t="shared" si="5"/>
        <v>SS</v>
      </c>
      <c r="L78" s="190"/>
      <c r="M78" s="190"/>
      <c r="N78" s="191"/>
      <c r="O78" s="191"/>
      <c r="P78" s="191"/>
      <c r="Q78" s="181">
        <f t="shared" si="6"/>
        <v>240000</v>
      </c>
      <c r="R78" s="175">
        <f t="shared" si="7"/>
        <v>240000</v>
      </c>
      <c r="S78" s="192"/>
    </row>
    <row r="79" spans="1:19" s="184" customFormat="1" ht="21.75" hidden="1" customHeight="1" x14ac:dyDescent="0.35">
      <c r="A79" s="184">
        <v>10770</v>
      </c>
      <c r="B79" s="198" t="s">
        <v>491</v>
      </c>
      <c r="C79" s="198" t="s">
        <v>492</v>
      </c>
      <c r="D79" s="6">
        <v>1225</v>
      </c>
      <c r="E79" s="179">
        <v>806</v>
      </c>
      <c r="F79" s="179">
        <v>68</v>
      </c>
      <c r="G79" s="179">
        <v>26</v>
      </c>
      <c r="H79" s="179">
        <v>20</v>
      </c>
      <c r="I79" s="179">
        <v>3</v>
      </c>
      <c r="J79" s="180">
        <f t="shared" si="4"/>
        <v>2148</v>
      </c>
      <c r="K79" s="190" t="str">
        <f t="shared" si="5"/>
        <v>S</v>
      </c>
      <c r="L79" s="190"/>
      <c r="M79" s="190"/>
      <c r="N79" s="191"/>
      <c r="O79" s="191"/>
      <c r="P79" s="191"/>
      <c r="Q79" s="181">
        <f t="shared" si="6"/>
        <v>300000</v>
      </c>
      <c r="R79" s="175">
        <f t="shared" si="7"/>
        <v>300000</v>
      </c>
      <c r="S79" s="192"/>
    </row>
    <row r="80" spans="1:19" s="184" customFormat="1" ht="21.75" hidden="1" customHeight="1" x14ac:dyDescent="0.35">
      <c r="A80" s="184">
        <v>10770</v>
      </c>
      <c r="B80" s="196" t="s">
        <v>493</v>
      </c>
      <c r="C80" s="196" t="s">
        <v>494</v>
      </c>
      <c r="D80" s="3">
        <v>1414</v>
      </c>
      <c r="E80" s="179">
        <v>255</v>
      </c>
      <c r="F80" s="179">
        <v>33</v>
      </c>
      <c r="G80" s="179">
        <v>18</v>
      </c>
      <c r="H80" s="179">
        <v>10</v>
      </c>
      <c r="I80" s="179">
        <v>1</v>
      </c>
      <c r="J80" s="180">
        <f t="shared" si="4"/>
        <v>1731</v>
      </c>
      <c r="K80" s="190" t="str">
        <f t="shared" si="5"/>
        <v>SS</v>
      </c>
      <c r="L80" s="190"/>
      <c r="M80" s="190"/>
      <c r="N80" s="191"/>
      <c r="O80" s="191"/>
      <c r="P80" s="191"/>
      <c r="Q80" s="181">
        <f t="shared" si="6"/>
        <v>240000</v>
      </c>
      <c r="R80" s="175">
        <f t="shared" si="7"/>
        <v>240000</v>
      </c>
      <c r="S80" s="192"/>
    </row>
    <row r="81" spans="1:19" s="184" customFormat="1" ht="21.75" hidden="1" customHeight="1" x14ac:dyDescent="0.35">
      <c r="A81" s="184">
        <v>10770</v>
      </c>
      <c r="B81" s="196" t="s">
        <v>495</v>
      </c>
      <c r="C81" s="196" t="s">
        <v>496</v>
      </c>
      <c r="D81" s="3">
        <v>1557</v>
      </c>
      <c r="E81" s="179">
        <v>961</v>
      </c>
      <c r="F81" s="179">
        <v>231</v>
      </c>
      <c r="G81" s="179">
        <v>47</v>
      </c>
      <c r="H81" s="179">
        <v>44</v>
      </c>
      <c r="I81" s="179">
        <v>6</v>
      </c>
      <c r="J81" s="180">
        <f t="shared" si="4"/>
        <v>2846</v>
      </c>
      <c r="K81" s="190" t="str">
        <f t="shared" si="5"/>
        <v>S</v>
      </c>
      <c r="L81" s="190"/>
      <c r="M81" s="190"/>
      <c r="N81" s="191"/>
      <c r="O81" s="191"/>
      <c r="P81" s="191"/>
      <c r="Q81" s="181">
        <f t="shared" si="6"/>
        <v>300000</v>
      </c>
      <c r="R81" s="175">
        <f t="shared" si="7"/>
        <v>300000</v>
      </c>
      <c r="S81" s="192"/>
    </row>
    <row r="82" spans="1:19" s="184" customFormat="1" ht="21.75" hidden="1" customHeight="1" x14ac:dyDescent="0.35">
      <c r="A82" s="184">
        <v>10770</v>
      </c>
      <c r="B82" s="198" t="s">
        <v>497</v>
      </c>
      <c r="C82" s="198" t="s">
        <v>498</v>
      </c>
      <c r="D82" s="6">
        <v>721</v>
      </c>
      <c r="E82" s="179">
        <v>505</v>
      </c>
      <c r="F82" s="179">
        <v>120</v>
      </c>
      <c r="G82" s="179">
        <v>8</v>
      </c>
      <c r="H82" s="179">
        <v>19</v>
      </c>
      <c r="I82" s="179">
        <v>0</v>
      </c>
      <c r="J82" s="180">
        <f t="shared" si="4"/>
        <v>1373</v>
      </c>
      <c r="K82" s="190" t="str">
        <f t="shared" si="5"/>
        <v>SS</v>
      </c>
      <c r="L82" s="190"/>
      <c r="M82" s="190"/>
      <c r="N82" s="191"/>
      <c r="O82" s="191"/>
      <c r="P82" s="191"/>
      <c r="Q82" s="181">
        <f t="shared" si="6"/>
        <v>240000</v>
      </c>
      <c r="R82" s="175">
        <f t="shared" si="7"/>
        <v>240000</v>
      </c>
      <c r="S82" s="192"/>
    </row>
    <row r="83" spans="1:19" s="184" customFormat="1" ht="21.75" hidden="1" customHeight="1" x14ac:dyDescent="0.35">
      <c r="A83" s="184">
        <v>10770</v>
      </c>
      <c r="B83" s="196" t="s">
        <v>499</v>
      </c>
      <c r="C83" s="196" t="s">
        <v>500</v>
      </c>
      <c r="D83" s="3">
        <v>854</v>
      </c>
      <c r="E83" s="179">
        <v>528</v>
      </c>
      <c r="F83" s="179">
        <v>84</v>
      </c>
      <c r="G83" s="179">
        <v>15</v>
      </c>
      <c r="H83" s="179">
        <v>21</v>
      </c>
      <c r="I83" s="179">
        <v>0</v>
      </c>
      <c r="J83" s="180">
        <f t="shared" si="4"/>
        <v>1502</v>
      </c>
      <c r="K83" s="190" t="str">
        <f t="shared" si="5"/>
        <v>SS</v>
      </c>
      <c r="L83" s="190"/>
      <c r="M83" s="190"/>
      <c r="N83" s="191"/>
      <c r="O83" s="191"/>
      <c r="P83" s="191"/>
      <c r="Q83" s="181">
        <f t="shared" si="6"/>
        <v>240000</v>
      </c>
      <c r="R83" s="175">
        <f t="shared" si="7"/>
        <v>240000</v>
      </c>
      <c r="S83" s="192"/>
    </row>
    <row r="84" spans="1:19" s="184" customFormat="1" ht="21.75" hidden="1" customHeight="1" x14ac:dyDescent="0.35">
      <c r="A84" s="184">
        <v>10770</v>
      </c>
      <c r="B84" s="198" t="s">
        <v>372</v>
      </c>
      <c r="C84" s="198" t="s">
        <v>373</v>
      </c>
      <c r="D84" s="6">
        <v>1484</v>
      </c>
      <c r="E84" s="179">
        <v>634</v>
      </c>
      <c r="F84" s="179">
        <v>210</v>
      </c>
      <c r="G84" s="179">
        <v>21</v>
      </c>
      <c r="H84" s="179">
        <v>19</v>
      </c>
      <c r="I84" s="179">
        <v>3</v>
      </c>
      <c r="J84" s="180">
        <f t="shared" si="4"/>
        <v>2371</v>
      </c>
      <c r="K84" s="190" t="str">
        <f t="shared" si="5"/>
        <v>S</v>
      </c>
      <c r="L84" s="190"/>
      <c r="M84" s="190"/>
      <c r="N84" s="191"/>
      <c r="O84" s="191"/>
      <c r="P84" s="191"/>
      <c r="Q84" s="181">
        <f t="shared" si="6"/>
        <v>300000</v>
      </c>
      <c r="R84" s="175">
        <f t="shared" si="7"/>
        <v>300000</v>
      </c>
      <c r="S84" s="192"/>
    </row>
    <row r="85" spans="1:19" s="184" customFormat="1" ht="21.75" hidden="1" customHeight="1" x14ac:dyDescent="0.35">
      <c r="A85" s="184">
        <v>10771</v>
      </c>
      <c r="B85" s="198" t="s">
        <v>503</v>
      </c>
      <c r="C85" s="198" t="s">
        <v>504</v>
      </c>
      <c r="D85" s="9">
        <v>529</v>
      </c>
      <c r="E85" s="179">
        <v>290</v>
      </c>
      <c r="F85" s="179">
        <v>139</v>
      </c>
      <c r="G85" s="179">
        <v>11</v>
      </c>
      <c r="H85" s="179">
        <v>19</v>
      </c>
      <c r="I85" s="179">
        <v>4</v>
      </c>
      <c r="J85" s="180">
        <f t="shared" si="4"/>
        <v>992</v>
      </c>
      <c r="K85" s="190" t="str">
        <f t="shared" si="5"/>
        <v>SSS</v>
      </c>
      <c r="L85" s="190"/>
      <c r="M85" s="190"/>
      <c r="N85" s="191"/>
      <c r="O85" s="191"/>
      <c r="P85" s="191"/>
      <c r="Q85" s="181">
        <f t="shared" si="6"/>
        <v>192000</v>
      </c>
      <c r="R85" s="175">
        <f t="shared" si="7"/>
        <v>192000</v>
      </c>
      <c r="S85" s="192"/>
    </row>
    <row r="86" spans="1:19" s="184" customFormat="1" ht="21.75" hidden="1" customHeight="1" x14ac:dyDescent="0.35">
      <c r="A86" s="184">
        <v>10771</v>
      </c>
      <c r="B86" s="196" t="s">
        <v>505</v>
      </c>
      <c r="C86" s="196" t="s">
        <v>506</v>
      </c>
      <c r="D86" s="4">
        <v>1048</v>
      </c>
      <c r="E86" s="179">
        <v>400</v>
      </c>
      <c r="F86" s="179">
        <v>186</v>
      </c>
      <c r="G86" s="179">
        <v>6</v>
      </c>
      <c r="H86" s="179">
        <v>18</v>
      </c>
      <c r="I86" s="179">
        <v>1</v>
      </c>
      <c r="J86" s="180">
        <f t="shared" si="4"/>
        <v>1659</v>
      </c>
      <c r="K86" s="190" t="str">
        <f t="shared" si="5"/>
        <v>SS</v>
      </c>
      <c r="L86" s="190"/>
      <c r="M86" s="190"/>
      <c r="N86" s="191"/>
      <c r="O86" s="191"/>
      <c r="P86" s="191"/>
      <c r="Q86" s="181">
        <f t="shared" si="6"/>
        <v>240000</v>
      </c>
      <c r="R86" s="175">
        <f t="shared" si="7"/>
        <v>240000</v>
      </c>
      <c r="S86" s="192"/>
    </row>
    <row r="87" spans="1:19" s="184" customFormat="1" ht="21.75" hidden="1" customHeight="1" x14ac:dyDescent="0.35">
      <c r="A87" s="184">
        <v>10771</v>
      </c>
      <c r="B87" s="198" t="s">
        <v>304</v>
      </c>
      <c r="C87" s="198" t="s">
        <v>305</v>
      </c>
      <c r="D87" s="9">
        <v>1591</v>
      </c>
      <c r="E87" s="179">
        <v>555</v>
      </c>
      <c r="F87" s="179">
        <v>352</v>
      </c>
      <c r="G87" s="179">
        <v>29</v>
      </c>
      <c r="H87" s="179">
        <v>46</v>
      </c>
      <c r="I87" s="179">
        <v>10</v>
      </c>
      <c r="J87" s="180">
        <f t="shared" si="4"/>
        <v>2583</v>
      </c>
      <c r="K87" s="190" t="str">
        <f t="shared" si="5"/>
        <v>S</v>
      </c>
      <c r="L87" s="190"/>
      <c r="M87" s="190"/>
      <c r="N87" s="191"/>
      <c r="O87" s="191"/>
      <c r="P87" s="191"/>
      <c r="Q87" s="181">
        <f t="shared" si="6"/>
        <v>300000</v>
      </c>
      <c r="R87" s="175">
        <f t="shared" si="7"/>
        <v>300000</v>
      </c>
      <c r="S87" s="192"/>
    </row>
    <row r="88" spans="1:19" s="184" customFormat="1" ht="21.75" hidden="1" customHeight="1" x14ac:dyDescent="0.35">
      <c r="A88" s="184">
        <v>10771</v>
      </c>
      <c r="B88" s="198" t="s">
        <v>507</v>
      </c>
      <c r="C88" s="198" t="s">
        <v>508</v>
      </c>
      <c r="D88" s="9">
        <v>3163</v>
      </c>
      <c r="E88" s="179">
        <v>1110</v>
      </c>
      <c r="F88" s="179">
        <v>449</v>
      </c>
      <c r="G88" s="179">
        <v>57</v>
      </c>
      <c r="H88" s="179">
        <v>56</v>
      </c>
      <c r="I88" s="179">
        <v>10</v>
      </c>
      <c r="J88" s="180">
        <f t="shared" si="4"/>
        <v>4845</v>
      </c>
      <c r="K88" s="190" t="str">
        <f t="shared" si="5"/>
        <v>M</v>
      </c>
      <c r="L88" s="190"/>
      <c r="M88" s="190"/>
      <c r="N88" s="191"/>
      <c r="O88" s="191"/>
      <c r="P88" s="191"/>
      <c r="Q88" s="181">
        <f t="shared" si="6"/>
        <v>330000</v>
      </c>
      <c r="R88" s="175">
        <f t="shared" si="7"/>
        <v>330000</v>
      </c>
      <c r="S88" s="192"/>
    </row>
    <row r="89" spans="1:19" s="184" customFormat="1" ht="21.75" hidden="1" customHeight="1" x14ac:dyDescent="0.35">
      <c r="A89" s="184">
        <v>10771</v>
      </c>
      <c r="B89" s="196" t="s">
        <v>509</v>
      </c>
      <c r="C89" s="196" t="s">
        <v>510</v>
      </c>
      <c r="D89" s="4">
        <v>1406</v>
      </c>
      <c r="E89" s="179">
        <v>543</v>
      </c>
      <c r="F89" s="179">
        <v>310</v>
      </c>
      <c r="G89" s="179">
        <v>18</v>
      </c>
      <c r="H89" s="179">
        <v>36</v>
      </c>
      <c r="I89" s="179">
        <v>1</v>
      </c>
      <c r="J89" s="180">
        <f t="shared" si="4"/>
        <v>2314</v>
      </c>
      <c r="K89" s="190" t="str">
        <f t="shared" si="5"/>
        <v>S</v>
      </c>
      <c r="L89" s="190"/>
      <c r="M89" s="190"/>
      <c r="N89" s="191"/>
      <c r="O89" s="191"/>
      <c r="P89" s="191"/>
      <c r="Q89" s="181">
        <f t="shared" si="6"/>
        <v>300000</v>
      </c>
      <c r="R89" s="175">
        <f t="shared" si="7"/>
        <v>300000</v>
      </c>
      <c r="S89" s="192"/>
    </row>
    <row r="90" spans="1:19" s="184" customFormat="1" ht="21.75" hidden="1" customHeight="1" x14ac:dyDescent="0.35">
      <c r="A90" s="184">
        <v>10771</v>
      </c>
      <c r="B90" s="198" t="s">
        <v>511</v>
      </c>
      <c r="C90" s="198" t="s">
        <v>512</v>
      </c>
      <c r="D90" s="9">
        <v>1179</v>
      </c>
      <c r="E90" s="179">
        <v>602</v>
      </c>
      <c r="F90" s="179">
        <v>139</v>
      </c>
      <c r="G90" s="179">
        <v>19</v>
      </c>
      <c r="H90" s="179">
        <v>23</v>
      </c>
      <c r="I90" s="179">
        <v>3</v>
      </c>
      <c r="J90" s="180">
        <f t="shared" si="4"/>
        <v>1965</v>
      </c>
      <c r="K90" s="190" t="str">
        <f t="shared" si="5"/>
        <v>SS</v>
      </c>
      <c r="L90" s="190"/>
      <c r="M90" s="190"/>
      <c r="N90" s="191"/>
      <c r="O90" s="191"/>
      <c r="P90" s="191"/>
      <c r="Q90" s="181">
        <f t="shared" si="6"/>
        <v>240000</v>
      </c>
      <c r="R90" s="175">
        <f t="shared" si="7"/>
        <v>240000</v>
      </c>
      <c r="S90" s="192"/>
    </row>
    <row r="91" spans="1:19" s="184" customFormat="1" ht="21.75" hidden="1" customHeight="1" x14ac:dyDescent="0.35">
      <c r="A91" s="184">
        <v>10771</v>
      </c>
      <c r="B91" s="196" t="s">
        <v>374</v>
      </c>
      <c r="C91" s="196" t="s">
        <v>375</v>
      </c>
      <c r="D91" s="4">
        <v>2496</v>
      </c>
      <c r="E91" s="179">
        <v>1012</v>
      </c>
      <c r="F91" s="179">
        <v>337</v>
      </c>
      <c r="G91" s="179">
        <v>41</v>
      </c>
      <c r="H91" s="179">
        <v>51</v>
      </c>
      <c r="I91" s="179">
        <v>8</v>
      </c>
      <c r="J91" s="180">
        <f t="shared" si="4"/>
        <v>3945</v>
      </c>
      <c r="K91" s="190" t="str">
        <f t="shared" si="5"/>
        <v>M</v>
      </c>
      <c r="L91" s="190"/>
      <c r="M91" s="190"/>
      <c r="N91" s="191"/>
      <c r="O91" s="191"/>
      <c r="P91" s="191"/>
      <c r="Q91" s="181">
        <f t="shared" si="6"/>
        <v>330000</v>
      </c>
      <c r="R91" s="175">
        <f t="shared" si="7"/>
        <v>330000</v>
      </c>
      <c r="S91" s="192"/>
    </row>
    <row r="92" spans="1:19" s="184" customFormat="1" ht="21.75" hidden="1" customHeight="1" x14ac:dyDescent="0.35">
      <c r="A92" s="184">
        <v>10771</v>
      </c>
      <c r="B92" s="198" t="s">
        <v>376</v>
      </c>
      <c r="C92" s="198" t="s">
        <v>377</v>
      </c>
      <c r="D92" s="9">
        <v>1359</v>
      </c>
      <c r="E92" s="179">
        <v>643</v>
      </c>
      <c r="F92" s="179">
        <v>154</v>
      </c>
      <c r="G92" s="179">
        <v>20</v>
      </c>
      <c r="H92" s="179">
        <v>38</v>
      </c>
      <c r="I92" s="179">
        <v>4</v>
      </c>
      <c r="J92" s="180">
        <f t="shared" si="4"/>
        <v>2218</v>
      </c>
      <c r="K92" s="190" t="str">
        <f t="shared" si="5"/>
        <v>S</v>
      </c>
      <c r="L92" s="190"/>
      <c r="M92" s="190"/>
      <c r="N92" s="191"/>
      <c r="O92" s="191"/>
      <c r="P92" s="191"/>
      <c r="Q92" s="181">
        <f t="shared" si="6"/>
        <v>300000</v>
      </c>
      <c r="R92" s="175">
        <f t="shared" si="7"/>
        <v>300000</v>
      </c>
      <c r="S92" s="192"/>
    </row>
    <row r="93" spans="1:19" s="184" customFormat="1" ht="21.75" hidden="1" customHeight="1" x14ac:dyDescent="0.35">
      <c r="A93" s="184">
        <v>10771</v>
      </c>
      <c r="B93" s="196" t="s">
        <v>378</v>
      </c>
      <c r="C93" s="196" t="s">
        <v>379</v>
      </c>
      <c r="D93" s="4">
        <v>595</v>
      </c>
      <c r="E93" s="179">
        <v>277</v>
      </c>
      <c r="F93" s="179">
        <v>94</v>
      </c>
      <c r="G93" s="179">
        <v>11</v>
      </c>
      <c r="H93" s="179">
        <v>13</v>
      </c>
      <c r="I93" s="179">
        <v>1</v>
      </c>
      <c r="J93" s="180">
        <f t="shared" si="4"/>
        <v>991</v>
      </c>
      <c r="K93" s="190" t="str">
        <f t="shared" si="5"/>
        <v>SSS</v>
      </c>
      <c r="L93" s="190"/>
      <c r="M93" s="190"/>
      <c r="N93" s="191"/>
      <c r="O93" s="191"/>
      <c r="P93" s="191"/>
      <c r="Q93" s="181">
        <f t="shared" si="6"/>
        <v>192000</v>
      </c>
      <c r="R93" s="175">
        <f t="shared" si="7"/>
        <v>192000</v>
      </c>
      <c r="S93" s="192"/>
    </row>
    <row r="94" spans="1:19" s="184" customFormat="1" ht="21.75" hidden="1" customHeight="1" x14ac:dyDescent="0.35">
      <c r="A94" s="184">
        <v>10771</v>
      </c>
      <c r="B94" s="198" t="s">
        <v>513</v>
      </c>
      <c r="C94" s="198" t="s">
        <v>514</v>
      </c>
      <c r="D94" s="9">
        <v>808</v>
      </c>
      <c r="E94" s="179">
        <v>434</v>
      </c>
      <c r="F94" s="179">
        <v>167</v>
      </c>
      <c r="G94" s="179">
        <v>4</v>
      </c>
      <c r="H94" s="179">
        <v>12</v>
      </c>
      <c r="I94" s="179">
        <v>2</v>
      </c>
      <c r="J94" s="180">
        <f t="shared" si="4"/>
        <v>1427</v>
      </c>
      <c r="K94" s="190" t="str">
        <f t="shared" si="5"/>
        <v>SS</v>
      </c>
      <c r="L94" s="190"/>
      <c r="M94" s="190"/>
      <c r="N94" s="191"/>
      <c r="O94" s="191"/>
      <c r="P94" s="191"/>
      <c r="Q94" s="181">
        <f t="shared" si="6"/>
        <v>240000</v>
      </c>
      <c r="R94" s="175">
        <f t="shared" si="7"/>
        <v>240000</v>
      </c>
      <c r="S94" s="192"/>
    </row>
    <row r="95" spans="1:19" s="184" customFormat="1" ht="21.75" hidden="1" customHeight="1" x14ac:dyDescent="0.35">
      <c r="A95" s="184">
        <v>10771</v>
      </c>
      <c r="B95" s="196" t="s">
        <v>515</v>
      </c>
      <c r="C95" s="196" t="s">
        <v>516</v>
      </c>
      <c r="D95" s="4">
        <v>448</v>
      </c>
      <c r="E95" s="179">
        <v>240</v>
      </c>
      <c r="F95" s="179">
        <v>117</v>
      </c>
      <c r="G95" s="179">
        <v>7</v>
      </c>
      <c r="H95" s="179">
        <v>18</v>
      </c>
      <c r="I95" s="179">
        <v>5</v>
      </c>
      <c r="J95" s="180">
        <f t="shared" si="4"/>
        <v>835</v>
      </c>
      <c r="K95" s="190" t="str">
        <f t="shared" si="5"/>
        <v>SSS</v>
      </c>
      <c r="L95" s="190"/>
      <c r="M95" s="190"/>
      <c r="N95" s="191"/>
      <c r="O95" s="191"/>
      <c r="P95" s="191"/>
      <c r="Q95" s="181">
        <f t="shared" si="6"/>
        <v>192000</v>
      </c>
      <c r="R95" s="175">
        <f t="shared" si="7"/>
        <v>192000</v>
      </c>
      <c r="S95" s="192"/>
    </row>
    <row r="96" spans="1:19" s="184" customFormat="1" ht="21.75" hidden="1" customHeight="1" x14ac:dyDescent="0.35">
      <c r="A96" s="184">
        <v>10771</v>
      </c>
      <c r="B96" s="198" t="s">
        <v>517</v>
      </c>
      <c r="C96" s="198" t="s">
        <v>518</v>
      </c>
      <c r="D96" s="9">
        <v>374</v>
      </c>
      <c r="E96" s="179">
        <v>196</v>
      </c>
      <c r="F96" s="179">
        <v>66</v>
      </c>
      <c r="G96" s="179">
        <v>11</v>
      </c>
      <c r="H96" s="179">
        <v>5</v>
      </c>
      <c r="I96" s="179">
        <v>0</v>
      </c>
      <c r="J96" s="180">
        <f t="shared" si="4"/>
        <v>652</v>
      </c>
      <c r="K96" s="190" t="str">
        <f t="shared" si="5"/>
        <v>SSS</v>
      </c>
      <c r="L96" s="190"/>
      <c r="M96" s="190"/>
      <c r="N96" s="191"/>
      <c r="O96" s="191"/>
      <c r="P96" s="191"/>
      <c r="Q96" s="181">
        <f t="shared" si="6"/>
        <v>192000</v>
      </c>
      <c r="R96" s="175">
        <f t="shared" si="7"/>
        <v>192000</v>
      </c>
      <c r="S96" s="192"/>
    </row>
    <row r="97" spans="1:19" s="184" customFormat="1" ht="21.75" hidden="1" customHeight="1" x14ac:dyDescent="0.35">
      <c r="A97" s="184">
        <v>10771</v>
      </c>
      <c r="B97" s="196" t="s">
        <v>519</v>
      </c>
      <c r="C97" s="196" t="s">
        <v>520</v>
      </c>
      <c r="D97" s="4">
        <v>702</v>
      </c>
      <c r="E97" s="179">
        <v>406</v>
      </c>
      <c r="F97" s="179">
        <v>119</v>
      </c>
      <c r="G97" s="179">
        <v>13</v>
      </c>
      <c r="H97" s="179">
        <v>22</v>
      </c>
      <c r="I97" s="179">
        <v>4</v>
      </c>
      <c r="J97" s="180">
        <f t="shared" si="4"/>
        <v>1266</v>
      </c>
      <c r="K97" s="190" t="str">
        <f t="shared" si="5"/>
        <v>SS</v>
      </c>
      <c r="L97" s="190"/>
      <c r="M97" s="190"/>
      <c r="N97" s="191"/>
      <c r="O97" s="191"/>
      <c r="P97" s="191"/>
      <c r="Q97" s="181">
        <f t="shared" si="6"/>
        <v>240000</v>
      </c>
      <c r="R97" s="175">
        <f t="shared" si="7"/>
        <v>240000</v>
      </c>
      <c r="S97" s="192"/>
    </row>
    <row r="98" spans="1:19" s="184" customFormat="1" ht="21.75" hidden="1" customHeight="1" x14ac:dyDescent="0.35">
      <c r="A98" s="184">
        <v>10771</v>
      </c>
      <c r="B98" s="198" t="s">
        <v>521</v>
      </c>
      <c r="C98" s="198" t="s">
        <v>522</v>
      </c>
      <c r="D98" s="9">
        <v>1004</v>
      </c>
      <c r="E98" s="179">
        <v>490</v>
      </c>
      <c r="F98" s="179">
        <v>193</v>
      </c>
      <c r="G98" s="179">
        <v>16</v>
      </c>
      <c r="H98" s="179">
        <v>25</v>
      </c>
      <c r="I98" s="179">
        <v>5</v>
      </c>
      <c r="J98" s="180">
        <f t="shared" si="4"/>
        <v>1733</v>
      </c>
      <c r="K98" s="190" t="str">
        <f t="shared" si="5"/>
        <v>SS</v>
      </c>
      <c r="L98" s="190"/>
      <c r="M98" s="190"/>
      <c r="N98" s="191"/>
      <c r="O98" s="191"/>
      <c r="P98" s="191"/>
      <c r="Q98" s="181">
        <f t="shared" si="6"/>
        <v>240000</v>
      </c>
      <c r="R98" s="175">
        <f t="shared" si="7"/>
        <v>240000</v>
      </c>
      <c r="S98" s="192"/>
    </row>
    <row r="99" spans="1:19" s="184" customFormat="1" ht="21.75" hidden="1" customHeight="1" x14ac:dyDescent="0.35">
      <c r="A99" s="184">
        <v>10771</v>
      </c>
      <c r="B99" s="196" t="s">
        <v>306</v>
      </c>
      <c r="C99" s="196" t="s">
        <v>307</v>
      </c>
      <c r="D99" s="4">
        <v>2116</v>
      </c>
      <c r="E99" s="179">
        <v>944</v>
      </c>
      <c r="F99" s="179">
        <v>439</v>
      </c>
      <c r="G99" s="179">
        <v>22</v>
      </c>
      <c r="H99" s="179">
        <v>46</v>
      </c>
      <c r="I99" s="179">
        <v>2</v>
      </c>
      <c r="J99" s="180">
        <f t="shared" si="4"/>
        <v>3569</v>
      </c>
      <c r="K99" s="190" t="str">
        <f t="shared" si="5"/>
        <v>M</v>
      </c>
      <c r="L99" s="190"/>
      <c r="M99" s="190"/>
      <c r="N99" s="191"/>
      <c r="O99" s="191"/>
      <c r="P99" s="191"/>
      <c r="Q99" s="181">
        <f t="shared" si="6"/>
        <v>330000</v>
      </c>
      <c r="R99" s="175">
        <f t="shared" si="7"/>
        <v>330000</v>
      </c>
      <c r="S99" s="192"/>
    </row>
    <row r="100" spans="1:19" s="184" customFormat="1" ht="21.75" hidden="1" customHeight="1" x14ac:dyDescent="0.35">
      <c r="A100" s="184">
        <v>10772</v>
      </c>
      <c r="B100" s="196" t="s">
        <v>525</v>
      </c>
      <c r="C100" s="196" t="s">
        <v>526</v>
      </c>
      <c r="D100" s="98">
        <v>2038</v>
      </c>
      <c r="E100" s="179">
        <v>0</v>
      </c>
      <c r="F100" s="179">
        <v>0</v>
      </c>
      <c r="G100" s="179">
        <v>0</v>
      </c>
      <c r="H100" s="179">
        <v>3</v>
      </c>
      <c r="I100" s="179">
        <v>0</v>
      </c>
      <c r="J100" s="180">
        <f t="shared" si="4"/>
        <v>2041</v>
      </c>
      <c r="K100" s="190" t="str">
        <f t="shared" si="5"/>
        <v>S</v>
      </c>
      <c r="L100" s="190"/>
      <c r="M100" s="190"/>
      <c r="N100" s="191"/>
      <c r="O100" s="191"/>
      <c r="P100" s="191"/>
      <c r="Q100" s="181">
        <f t="shared" si="6"/>
        <v>300000</v>
      </c>
      <c r="R100" s="175">
        <f t="shared" si="7"/>
        <v>300000</v>
      </c>
      <c r="S100" s="192"/>
    </row>
    <row r="101" spans="1:19" s="184" customFormat="1" ht="21.75" hidden="1" customHeight="1" x14ac:dyDescent="0.35">
      <c r="A101" s="184">
        <v>10772</v>
      </c>
      <c r="B101" s="196" t="s">
        <v>527</v>
      </c>
      <c r="C101" s="196" t="s">
        <v>500</v>
      </c>
      <c r="D101" s="98">
        <v>10283</v>
      </c>
      <c r="E101" s="179">
        <v>4774</v>
      </c>
      <c r="F101" s="179">
        <v>899</v>
      </c>
      <c r="G101" s="179">
        <v>146</v>
      </c>
      <c r="H101" s="179">
        <v>205</v>
      </c>
      <c r="I101" s="179">
        <v>24</v>
      </c>
      <c r="J101" s="180">
        <f>SUM(D101:I101)</f>
        <v>16331</v>
      </c>
      <c r="K101" s="190" t="str">
        <f t="shared" si="5"/>
        <v>L</v>
      </c>
      <c r="L101" s="190"/>
      <c r="M101" s="190"/>
      <c r="N101" s="191"/>
      <c r="O101" s="191"/>
      <c r="P101" s="191"/>
      <c r="Q101" s="181">
        <f t="shared" si="6"/>
        <v>360000</v>
      </c>
      <c r="R101" s="175">
        <f t="shared" si="7"/>
        <v>360000</v>
      </c>
      <c r="S101" s="192"/>
    </row>
    <row r="102" spans="1:19" s="184" customFormat="1" ht="21.75" hidden="1" customHeight="1" x14ac:dyDescent="0.35">
      <c r="A102" s="184">
        <v>10772</v>
      </c>
      <c r="B102" s="198" t="s">
        <v>528</v>
      </c>
      <c r="C102" s="198" t="s">
        <v>529</v>
      </c>
      <c r="D102" s="96">
        <v>1602</v>
      </c>
      <c r="E102" s="179">
        <v>956</v>
      </c>
      <c r="F102" s="179">
        <v>264</v>
      </c>
      <c r="G102" s="179">
        <v>22</v>
      </c>
      <c r="H102" s="179">
        <v>51</v>
      </c>
      <c r="I102" s="179">
        <v>7</v>
      </c>
      <c r="J102" s="180">
        <f t="shared" si="4"/>
        <v>2902</v>
      </c>
      <c r="K102" s="190" t="str">
        <f t="shared" si="5"/>
        <v>S</v>
      </c>
      <c r="L102" s="190"/>
      <c r="M102" s="190"/>
      <c r="N102" s="191"/>
      <c r="O102" s="191"/>
      <c r="P102" s="191"/>
      <c r="Q102" s="181">
        <f t="shared" si="6"/>
        <v>300000</v>
      </c>
      <c r="R102" s="175">
        <f t="shared" si="7"/>
        <v>300000</v>
      </c>
      <c r="S102" s="192"/>
    </row>
    <row r="103" spans="1:19" s="184" customFormat="1" ht="21.75" hidden="1" customHeight="1" x14ac:dyDescent="0.35">
      <c r="A103" s="184">
        <v>10772</v>
      </c>
      <c r="B103" s="196" t="s">
        <v>308</v>
      </c>
      <c r="C103" s="196" t="s">
        <v>309</v>
      </c>
      <c r="D103" s="98">
        <v>2787</v>
      </c>
      <c r="E103" s="179">
        <v>66</v>
      </c>
      <c r="F103" s="179">
        <v>6</v>
      </c>
      <c r="G103" s="179">
        <v>4</v>
      </c>
      <c r="H103" s="179">
        <v>3</v>
      </c>
      <c r="I103" s="179">
        <v>0</v>
      </c>
      <c r="J103" s="180">
        <f t="shared" si="4"/>
        <v>2866</v>
      </c>
      <c r="K103" s="190" t="str">
        <f t="shared" si="5"/>
        <v>S</v>
      </c>
      <c r="L103" s="190"/>
      <c r="M103" s="190"/>
      <c r="N103" s="191"/>
      <c r="O103" s="191"/>
      <c r="P103" s="191"/>
      <c r="Q103" s="181">
        <f t="shared" si="6"/>
        <v>300000</v>
      </c>
      <c r="R103" s="175">
        <f t="shared" si="7"/>
        <v>300000</v>
      </c>
      <c r="S103" s="192"/>
    </row>
    <row r="104" spans="1:19" s="184" customFormat="1" ht="21.75" hidden="1" customHeight="1" x14ac:dyDescent="0.35">
      <c r="A104" s="184">
        <v>10772</v>
      </c>
      <c r="B104" s="196" t="s">
        <v>310</v>
      </c>
      <c r="C104" s="196" t="s">
        <v>311</v>
      </c>
      <c r="D104" s="98">
        <v>1177</v>
      </c>
      <c r="E104" s="179">
        <v>1944</v>
      </c>
      <c r="F104" s="179">
        <v>509</v>
      </c>
      <c r="G104" s="179">
        <v>63</v>
      </c>
      <c r="H104" s="179">
        <v>85</v>
      </c>
      <c r="I104" s="179">
        <v>14</v>
      </c>
      <c r="J104" s="180">
        <f t="shared" si="4"/>
        <v>3792</v>
      </c>
      <c r="K104" s="190" t="str">
        <f t="shared" si="5"/>
        <v>M</v>
      </c>
      <c r="L104" s="190"/>
      <c r="M104" s="190"/>
      <c r="N104" s="191"/>
      <c r="O104" s="191"/>
      <c r="P104" s="191"/>
      <c r="Q104" s="181">
        <f t="shared" si="6"/>
        <v>330000</v>
      </c>
      <c r="R104" s="175">
        <f t="shared" si="7"/>
        <v>330000</v>
      </c>
      <c r="S104" s="192"/>
    </row>
    <row r="105" spans="1:19" s="184" customFormat="1" ht="21.75" hidden="1" customHeight="1" x14ac:dyDescent="0.35">
      <c r="A105" s="184">
        <v>10772</v>
      </c>
      <c r="B105" s="198" t="s">
        <v>530</v>
      </c>
      <c r="C105" s="198" t="s">
        <v>531</v>
      </c>
      <c r="D105" s="96">
        <v>7054</v>
      </c>
      <c r="E105" s="179">
        <v>3397</v>
      </c>
      <c r="F105" s="179">
        <v>601</v>
      </c>
      <c r="G105" s="179">
        <v>88</v>
      </c>
      <c r="H105" s="179">
        <v>123</v>
      </c>
      <c r="I105" s="179">
        <v>20</v>
      </c>
      <c r="J105" s="180">
        <f t="shared" si="4"/>
        <v>11283</v>
      </c>
      <c r="K105" s="190" t="str">
        <f t="shared" si="5"/>
        <v>L</v>
      </c>
      <c r="L105" s="190"/>
      <c r="M105" s="190"/>
      <c r="N105" s="191"/>
      <c r="O105" s="191"/>
      <c r="P105" s="191"/>
      <c r="Q105" s="181">
        <f t="shared" si="6"/>
        <v>360000</v>
      </c>
      <c r="R105" s="175">
        <f t="shared" si="7"/>
        <v>360000</v>
      </c>
      <c r="S105" s="192"/>
    </row>
    <row r="106" spans="1:19" s="184" customFormat="1" ht="21.75" hidden="1" customHeight="1" x14ac:dyDescent="0.35">
      <c r="A106" s="184">
        <v>10772</v>
      </c>
      <c r="B106" s="196" t="s">
        <v>532</v>
      </c>
      <c r="C106" s="196" t="s">
        <v>533</v>
      </c>
      <c r="D106" s="98">
        <v>4095</v>
      </c>
      <c r="E106" s="179">
        <v>2725</v>
      </c>
      <c r="F106" s="179">
        <v>405</v>
      </c>
      <c r="G106" s="179">
        <v>51</v>
      </c>
      <c r="H106" s="179">
        <v>85</v>
      </c>
      <c r="I106" s="179">
        <v>9</v>
      </c>
      <c r="J106" s="180">
        <f t="shared" si="4"/>
        <v>7370</v>
      </c>
      <c r="K106" s="190" t="str">
        <f t="shared" si="5"/>
        <v>M</v>
      </c>
      <c r="L106" s="190"/>
      <c r="M106" s="190"/>
      <c r="N106" s="191"/>
      <c r="O106" s="191"/>
      <c r="P106" s="191"/>
      <c r="Q106" s="181">
        <f t="shared" si="6"/>
        <v>330000</v>
      </c>
      <c r="R106" s="175">
        <f t="shared" si="7"/>
        <v>330000</v>
      </c>
      <c r="S106" s="192"/>
    </row>
    <row r="107" spans="1:19" s="184" customFormat="1" ht="21.75" hidden="1" customHeight="1" x14ac:dyDescent="0.35">
      <c r="A107" s="184">
        <v>10772</v>
      </c>
      <c r="B107" s="198" t="s">
        <v>312</v>
      </c>
      <c r="C107" s="198" t="s">
        <v>313</v>
      </c>
      <c r="D107" s="96">
        <v>1354</v>
      </c>
      <c r="E107" s="179">
        <v>803</v>
      </c>
      <c r="F107" s="179">
        <v>192</v>
      </c>
      <c r="G107" s="179">
        <v>12</v>
      </c>
      <c r="H107" s="179">
        <v>29</v>
      </c>
      <c r="I107" s="179">
        <v>8</v>
      </c>
      <c r="J107" s="180">
        <f t="shared" si="4"/>
        <v>2398</v>
      </c>
      <c r="K107" s="190" t="str">
        <f t="shared" si="5"/>
        <v>S</v>
      </c>
      <c r="L107" s="190"/>
      <c r="M107" s="190"/>
      <c r="N107" s="191"/>
      <c r="O107" s="191"/>
      <c r="P107" s="191"/>
      <c r="Q107" s="181">
        <f t="shared" si="6"/>
        <v>300000</v>
      </c>
      <c r="R107" s="175">
        <f t="shared" si="7"/>
        <v>300000</v>
      </c>
      <c r="S107" s="192"/>
    </row>
    <row r="108" spans="1:19" s="184" customFormat="1" ht="21.75" hidden="1" customHeight="1" x14ac:dyDescent="0.35">
      <c r="A108" s="184">
        <v>10772</v>
      </c>
      <c r="B108" s="196" t="s">
        <v>534</v>
      </c>
      <c r="C108" s="196" t="s">
        <v>506</v>
      </c>
      <c r="D108" s="98">
        <v>1670</v>
      </c>
      <c r="E108" s="179">
        <v>820</v>
      </c>
      <c r="F108" s="179">
        <v>214</v>
      </c>
      <c r="G108" s="179">
        <v>18</v>
      </c>
      <c r="H108" s="179">
        <v>32</v>
      </c>
      <c r="I108" s="179">
        <v>6</v>
      </c>
      <c r="J108" s="180">
        <f t="shared" si="4"/>
        <v>2760</v>
      </c>
      <c r="K108" s="190" t="str">
        <f t="shared" si="5"/>
        <v>S</v>
      </c>
      <c r="L108" s="190"/>
      <c r="M108" s="190"/>
      <c r="N108" s="191"/>
      <c r="O108" s="191"/>
      <c r="P108" s="191"/>
      <c r="Q108" s="181">
        <f t="shared" si="6"/>
        <v>300000</v>
      </c>
      <c r="R108" s="175">
        <f t="shared" si="7"/>
        <v>300000</v>
      </c>
      <c r="S108" s="192"/>
    </row>
    <row r="109" spans="1:19" s="184" customFormat="1" ht="21.75" hidden="1" customHeight="1" x14ac:dyDescent="0.35">
      <c r="A109" s="184">
        <v>10772</v>
      </c>
      <c r="B109" s="198" t="s">
        <v>314</v>
      </c>
      <c r="C109" s="198" t="s">
        <v>315</v>
      </c>
      <c r="D109" s="96">
        <v>1213</v>
      </c>
      <c r="E109" s="179">
        <v>593</v>
      </c>
      <c r="F109" s="179">
        <v>159</v>
      </c>
      <c r="G109" s="179">
        <v>21</v>
      </c>
      <c r="H109" s="179">
        <v>22</v>
      </c>
      <c r="I109" s="179">
        <v>7</v>
      </c>
      <c r="J109" s="180">
        <f t="shared" si="4"/>
        <v>2015</v>
      </c>
      <c r="K109" s="190" t="str">
        <f t="shared" si="5"/>
        <v>S</v>
      </c>
      <c r="L109" s="190"/>
      <c r="M109" s="190"/>
      <c r="N109" s="191"/>
      <c r="O109" s="191"/>
      <c r="P109" s="191"/>
      <c r="Q109" s="181">
        <f t="shared" si="6"/>
        <v>300000</v>
      </c>
      <c r="R109" s="175">
        <f t="shared" si="7"/>
        <v>300000</v>
      </c>
      <c r="S109" s="192"/>
    </row>
    <row r="110" spans="1:19" s="184" customFormat="1" ht="21.75" hidden="1" customHeight="1" x14ac:dyDescent="0.35">
      <c r="A110" s="184">
        <v>10772</v>
      </c>
      <c r="B110" s="196" t="s">
        <v>316</v>
      </c>
      <c r="C110" s="196" t="s">
        <v>317</v>
      </c>
      <c r="D110" s="197">
        <v>2200</v>
      </c>
      <c r="E110" s="179">
        <v>126</v>
      </c>
      <c r="F110" s="179">
        <v>14</v>
      </c>
      <c r="G110" s="179">
        <v>8</v>
      </c>
      <c r="H110" s="179">
        <v>5</v>
      </c>
      <c r="I110" s="179">
        <v>0</v>
      </c>
      <c r="J110" s="180">
        <f t="shared" si="4"/>
        <v>2353</v>
      </c>
      <c r="K110" s="190" t="str">
        <f t="shared" si="5"/>
        <v>S</v>
      </c>
      <c r="L110" s="190"/>
      <c r="M110" s="190"/>
      <c r="N110" s="191"/>
      <c r="O110" s="191"/>
      <c r="P110" s="191"/>
      <c r="Q110" s="181">
        <f t="shared" si="6"/>
        <v>300000</v>
      </c>
      <c r="R110" s="175">
        <f t="shared" si="7"/>
        <v>300000</v>
      </c>
      <c r="S110" s="192"/>
    </row>
    <row r="111" spans="1:19" s="184" customFormat="1" ht="21.75" hidden="1" customHeight="1" x14ac:dyDescent="0.35">
      <c r="A111" s="184">
        <v>10772</v>
      </c>
      <c r="B111" s="198" t="s">
        <v>535</v>
      </c>
      <c r="C111" s="198" t="s">
        <v>536</v>
      </c>
      <c r="D111" s="96">
        <v>1181</v>
      </c>
      <c r="E111" s="179">
        <v>717</v>
      </c>
      <c r="F111" s="179">
        <v>106</v>
      </c>
      <c r="G111" s="179">
        <v>14</v>
      </c>
      <c r="H111" s="179">
        <v>25</v>
      </c>
      <c r="I111" s="179">
        <v>1</v>
      </c>
      <c r="J111" s="180">
        <f t="shared" si="4"/>
        <v>2044</v>
      </c>
      <c r="K111" s="190" t="str">
        <f t="shared" si="5"/>
        <v>S</v>
      </c>
      <c r="L111" s="190"/>
      <c r="M111" s="190"/>
      <c r="N111" s="191"/>
      <c r="O111" s="191"/>
      <c r="P111" s="191"/>
      <c r="Q111" s="181">
        <f t="shared" si="6"/>
        <v>300000</v>
      </c>
      <c r="R111" s="175">
        <f t="shared" si="7"/>
        <v>300000</v>
      </c>
      <c r="S111" s="192"/>
    </row>
    <row r="112" spans="1:19" s="184" customFormat="1" ht="21.75" hidden="1" customHeight="1" x14ac:dyDescent="0.35">
      <c r="A112" s="184">
        <v>10772</v>
      </c>
      <c r="B112" s="196" t="s">
        <v>537</v>
      </c>
      <c r="C112" s="196" t="s">
        <v>538</v>
      </c>
      <c r="D112" s="98">
        <v>1487</v>
      </c>
      <c r="E112" s="179">
        <v>620</v>
      </c>
      <c r="F112" s="179">
        <v>48</v>
      </c>
      <c r="G112" s="179">
        <v>20</v>
      </c>
      <c r="H112" s="179">
        <v>10</v>
      </c>
      <c r="I112" s="179">
        <v>4</v>
      </c>
      <c r="J112" s="180">
        <f t="shared" si="4"/>
        <v>2189</v>
      </c>
      <c r="K112" s="190" t="str">
        <f t="shared" si="5"/>
        <v>S</v>
      </c>
      <c r="L112" s="190"/>
      <c r="M112" s="190"/>
      <c r="N112" s="191"/>
      <c r="O112" s="191"/>
      <c r="P112" s="191"/>
      <c r="Q112" s="181">
        <f t="shared" si="6"/>
        <v>300000</v>
      </c>
      <c r="R112" s="175">
        <f t="shared" si="7"/>
        <v>300000</v>
      </c>
      <c r="S112" s="192"/>
    </row>
    <row r="113" spans="1:19" s="184" customFormat="1" ht="21.75" hidden="1" customHeight="1" x14ac:dyDescent="0.35">
      <c r="A113" s="184">
        <v>10772</v>
      </c>
      <c r="B113" s="198" t="s">
        <v>539</v>
      </c>
      <c r="C113" s="198" t="s">
        <v>878</v>
      </c>
      <c r="D113" s="96">
        <v>808</v>
      </c>
      <c r="E113" s="179">
        <v>143</v>
      </c>
      <c r="F113" s="179">
        <v>41</v>
      </c>
      <c r="G113" s="179">
        <v>1</v>
      </c>
      <c r="H113" s="179">
        <v>6</v>
      </c>
      <c r="I113" s="179">
        <v>1</v>
      </c>
      <c r="J113" s="180">
        <f t="shared" si="4"/>
        <v>1000</v>
      </c>
      <c r="K113" s="190" t="str">
        <f t="shared" si="5"/>
        <v>SSS</v>
      </c>
      <c r="L113" s="190"/>
      <c r="M113" s="190"/>
      <c r="N113" s="191"/>
      <c r="O113" s="191"/>
      <c r="P113" s="191"/>
      <c r="Q113" s="181">
        <f t="shared" si="6"/>
        <v>192000</v>
      </c>
      <c r="R113" s="175">
        <f t="shared" si="7"/>
        <v>192000</v>
      </c>
      <c r="S113" s="192"/>
    </row>
    <row r="114" spans="1:19" s="184" customFormat="1" ht="21.75" hidden="1" customHeight="1" x14ac:dyDescent="0.35">
      <c r="A114" s="184">
        <v>10772</v>
      </c>
      <c r="B114" s="198" t="s">
        <v>540</v>
      </c>
      <c r="C114" s="198" t="s">
        <v>879</v>
      </c>
      <c r="D114" s="96">
        <v>457</v>
      </c>
      <c r="E114" s="179">
        <v>505</v>
      </c>
      <c r="F114" s="179">
        <v>101</v>
      </c>
      <c r="G114" s="179">
        <v>9</v>
      </c>
      <c r="H114" s="179">
        <v>19</v>
      </c>
      <c r="I114" s="179">
        <v>4</v>
      </c>
      <c r="J114" s="180">
        <f t="shared" si="4"/>
        <v>1095</v>
      </c>
      <c r="K114" s="190" t="str">
        <f t="shared" si="5"/>
        <v>SS</v>
      </c>
      <c r="L114" s="190"/>
      <c r="M114" s="190"/>
      <c r="N114" s="191"/>
      <c r="O114" s="191"/>
      <c r="P114" s="191"/>
      <c r="Q114" s="181">
        <f t="shared" si="6"/>
        <v>240000</v>
      </c>
      <c r="R114" s="175">
        <f t="shared" si="7"/>
        <v>240000</v>
      </c>
      <c r="S114" s="192"/>
    </row>
    <row r="115" spans="1:19" s="184" customFormat="1" ht="21.75" hidden="1" customHeight="1" x14ac:dyDescent="0.35">
      <c r="A115" s="184">
        <v>10772</v>
      </c>
      <c r="B115" s="196" t="s">
        <v>318</v>
      </c>
      <c r="C115" s="196" t="s">
        <v>319</v>
      </c>
      <c r="D115" s="98">
        <v>1541</v>
      </c>
      <c r="E115" s="179">
        <v>695</v>
      </c>
      <c r="F115" s="179">
        <v>126</v>
      </c>
      <c r="G115" s="179">
        <v>17</v>
      </c>
      <c r="H115" s="179">
        <v>32</v>
      </c>
      <c r="I115" s="179">
        <v>1</v>
      </c>
      <c r="J115" s="180">
        <f t="shared" si="4"/>
        <v>2412</v>
      </c>
      <c r="K115" s="190" t="str">
        <f t="shared" si="5"/>
        <v>S</v>
      </c>
      <c r="L115" s="190"/>
      <c r="M115" s="190"/>
      <c r="N115" s="191"/>
      <c r="O115" s="191"/>
      <c r="P115" s="191"/>
      <c r="Q115" s="181">
        <f t="shared" si="6"/>
        <v>300000</v>
      </c>
      <c r="R115" s="175">
        <f t="shared" si="7"/>
        <v>300000</v>
      </c>
      <c r="S115" s="192"/>
    </row>
    <row r="116" spans="1:19" s="184" customFormat="1" ht="21.75" hidden="1" customHeight="1" x14ac:dyDescent="0.35">
      <c r="A116" s="184">
        <v>10772</v>
      </c>
      <c r="B116" s="198" t="s">
        <v>541</v>
      </c>
      <c r="C116" s="198" t="s">
        <v>542</v>
      </c>
      <c r="D116" s="96">
        <v>818</v>
      </c>
      <c r="E116" s="179">
        <v>494</v>
      </c>
      <c r="F116" s="179">
        <v>154</v>
      </c>
      <c r="G116" s="179">
        <v>9</v>
      </c>
      <c r="H116" s="179">
        <v>19</v>
      </c>
      <c r="I116" s="179">
        <v>4</v>
      </c>
      <c r="J116" s="180">
        <f t="shared" si="4"/>
        <v>1498</v>
      </c>
      <c r="K116" s="190" t="str">
        <f t="shared" si="5"/>
        <v>SS</v>
      </c>
      <c r="L116" s="190"/>
      <c r="M116" s="190"/>
      <c r="N116" s="191"/>
      <c r="O116" s="191"/>
      <c r="P116" s="191"/>
      <c r="Q116" s="181">
        <f t="shared" si="6"/>
        <v>240000</v>
      </c>
      <c r="R116" s="175">
        <f t="shared" si="7"/>
        <v>240000</v>
      </c>
      <c r="S116" s="192"/>
    </row>
    <row r="117" spans="1:19" s="184" customFormat="1" ht="21.75" hidden="1" customHeight="1" x14ac:dyDescent="0.35">
      <c r="A117" s="184">
        <v>10772</v>
      </c>
      <c r="B117" s="196" t="s">
        <v>320</v>
      </c>
      <c r="C117" s="196" t="s">
        <v>321</v>
      </c>
      <c r="D117" s="98">
        <v>6055</v>
      </c>
      <c r="E117" s="179">
        <v>1631</v>
      </c>
      <c r="F117" s="179">
        <v>299</v>
      </c>
      <c r="G117" s="179">
        <v>72</v>
      </c>
      <c r="H117" s="179">
        <v>52</v>
      </c>
      <c r="I117" s="179">
        <v>10</v>
      </c>
      <c r="J117" s="180">
        <f t="shared" si="4"/>
        <v>8119</v>
      </c>
      <c r="K117" s="190" t="str">
        <f t="shared" si="5"/>
        <v>L</v>
      </c>
      <c r="L117" s="190"/>
      <c r="M117" s="190"/>
      <c r="N117" s="191"/>
      <c r="O117" s="191"/>
      <c r="P117" s="191"/>
      <c r="Q117" s="181">
        <f t="shared" si="6"/>
        <v>360000</v>
      </c>
      <c r="R117" s="175">
        <f t="shared" si="7"/>
        <v>360000</v>
      </c>
      <c r="S117" s="192"/>
    </row>
    <row r="118" spans="1:19" s="184" customFormat="1" ht="21.75" hidden="1" customHeight="1" x14ac:dyDescent="0.35">
      <c r="A118" s="184">
        <v>10772</v>
      </c>
      <c r="B118" s="198" t="s">
        <v>543</v>
      </c>
      <c r="C118" s="198" t="s">
        <v>544</v>
      </c>
      <c r="D118" s="96">
        <v>1666</v>
      </c>
      <c r="E118" s="179">
        <v>798</v>
      </c>
      <c r="F118" s="179">
        <v>260</v>
      </c>
      <c r="G118" s="179">
        <v>26</v>
      </c>
      <c r="H118" s="179">
        <v>40</v>
      </c>
      <c r="I118" s="179">
        <v>8</v>
      </c>
      <c r="J118" s="180">
        <f t="shared" si="4"/>
        <v>2798</v>
      </c>
      <c r="K118" s="190" t="str">
        <f t="shared" si="5"/>
        <v>S</v>
      </c>
      <c r="L118" s="190"/>
      <c r="M118" s="190"/>
      <c r="N118" s="191"/>
      <c r="O118" s="191"/>
      <c r="P118" s="191"/>
      <c r="Q118" s="181">
        <f t="shared" si="6"/>
        <v>300000</v>
      </c>
      <c r="R118" s="175">
        <f t="shared" si="7"/>
        <v>300000</v>
      </c>
      <c r="S118" s="192"/>
    </row>
    <row r="119" spans="1:19" s="184" customFormat="1" ht="21.75" hidden="1" customHeight="1" x14ac:dyDescent="0.35">
      <c r="A119" s="184">
        <v>10772</v>
      </c>
      <c r="B119" s="196" t="s">
        <v>322</v>
      </c>
      <c r="C119" s="196" t="s">
        <v>323</v>
      </c>
      <c r="D119" s="98">
        <v>945</v>
      </c>
      <c r="E119" s="179">
        <v>506</v>
      </c>
      <c r="F119" s="179">
        <v>131</v>
      </c>
      <c r="G119" s="179">
        <v>6</v>
      </c>
      <c r="H119" s="179">
        <v>19</v>
      </c>
      <c r="I119" s="179">
        <v>2</v>
      </c>
      <c r="J119" s="180">
        <f t="shared" si="4"/>
        <v>1609</v>
      </c>
      <c r="K119" s="190" t="str">
        <f t="shared" si="5"/>
        <v>SS</v>
      </c>
      <c r="L119" s="190"/>
      <c r="M119" s="190"/>
      <c r="N119" s="191"/>
      <c r="O119" s="191"/>
      <c r="P119" s="191"/>
      <c r="Q119" s="181">
        <f t="shared" si="6"/>
        <v>240000</v>
      </c>
      <c r="R119" s="175">
        <f t="shared" si="7"/>
        <v>240000</v>
      </c>
      <c r="S119" s="192"/>
    </row>
    <row r="120" spans="1:19" s="184" customFormat="1" ht="21.75" hidden="1" customHeight="1" x14ac:dyDescent="0.35">
      <c r="A120" s="184">
        <v>10773</v>
      </c>
      <c r="B120" s="198" t="s">
        <v>551</v>
      </c>
      <c r="C120" s="198" t="s">
        <v>552</v>
      </c>
      <c r="D120" s="96">
        <v>2220</v>
      </c>
      <c r="E120" s="179">
        <v>869</v>
      </c>
      <c r="F120" s="179">
        <v>362</v>
      </c>
      <c r="G120" s="179">
        <v>56</v>
      </c>
      <c r="H120" s="179">
        <v>59</v>
      </c>
      <c r="I120" s="179">
        <v>4</v>
      </c>
      <c r="J120" s="180">
        <f t="shared" si="4"/>
        <v>3570</v>
      </c>
      <c r="K120" s="190" t="str">
        <f t="shared" si="5"/>
        <v>M</v>
      </c>
      <c r="L120" s="190"/>
      <c r="M120" s="190"/>
      <c r="N120" s="191"/>
      <c r="O120" s="191"/>
      <c r="P120" s="191"/>
      <c r="Q120" s="181">
        <f t="shared" si="6"/>
        <v>330000</v>
      </c>
      <c r="R120" s="175">
        <f t="shared" si="7"/>
        <v>330000</v>
      </c>
      <c r="S120" s="192"/>
    </row>
    <row r="121" spans="1:19" s="184" customFormat="1" ht="21.75" hidden="1" customHeight="1" x14ac:dyDescent="0.35">
      <c r="A121" s="184">
        <v>10773</v>
      </c>
      <c r="B121" s="196" t="s">
        <v>324</v>
      </c>
      <c r="C121" s="196" t="s">
        <v>325</v>
      </c>
      <c r="D121" s="98">
        <v>1010</v>
      </c>
      <c r="E121" s="179">
        <v>500</v>
      </c>
      <c r="F121" s="179">
        <v>141</v>
      </c>
      <c r="G121" s="179">
        <v>5</v>
      </c>
      <c r="H121" s="179">
        <v>20</v>
      </c>
      <c r="I121" s="179">
        <v>3</v>
      </c>
      <c r="J121" s="180">
        <f t="shared" si="4"/>
        <v>1679</v>
      </c>
      <c r="K121" s="190" t="str">
        <f t="shared" si="5"/>
        <v>SS</v>
      </c>
      <c r="L121" s="190"/>
      <c r="M121" s="190"/>
      <c r="N121" s="191"/>
      <c r="O121" s="191"/>
      <c r="P121" s="191"/>
      <c r="Q121" s="181">
        <f t="shared" si="6"/>
        <v>240000</v>
      </c>
      <c r="R121" s="175">
        <f t="shared" si="7"/>
        <v>240000</v>
      </c>
      <c r="S121" s="192"/>
    </row>
    <row r="122" spans="1:19" s="184" customFormat="1" ht="21.75" hidden="1" customHeight="1" x14ac:dyDescent="0.35">
      <c r="A122" s="184">
        <v>10773</v>
      </c>
      <c r="B122" s="198" t="s">
        <v>481</v>
      </c>
      <c r="C122" s="198" t="s">
        <v>482</v>
      </c>
      <c r="D122" s="96">
        <v>2060</v>
      </c>
      <c r="E122" s="179">
        <v>728</v>
      </c>
      <c r="F122" s="179">
        <v>188</v>
      </c>
      <c r="G122" s="179">
        <v>28</v>
      </c>
      <c r="H122" s="179">
        <v>19</v>
      </c>
      <c r="I122" s="179">
        <v>4</v>
      </c>
      <c r="J122" s="180">
        <f t="shared" si="4"/>
        <v>3027</v>
      </c>
      <c r="K122" s="190" t="str">
        <f t="shared" si="5"/>
        <v>M</v>
      </c>
      <c r="L122" s="190"/>
      <c r="M122" s="190"/>
      <c r="N122" s="191"/>
      <c r="O122" s="191"/>
      <c r="P122" s="191"/>
      <c r="Q122" s="181">
        <f t="shared" si="6"/>
        <v>330000</v>
      </c>
      <c r="R122" s="175">
        <f t="shared" si="7"/>
        <v>330000</v>
      </c>
      <c r="S122" s="192"/>
    </row>
    <row r="123" spans="1:19" s="184" customFormat="1" ht="21.75" hidden="1" customHeight="1" x14ac:dyDescent="0.35">
      <c r="A123" s="184">
        <v>10773</v>
      </c>
      <c r="B123" s="196" t="s">
        <v>553</v>
      </c>
      <c r="C123" s="196" t="s">
        <v>554</v>
      </c>
      <c r="D123" s="98">
        <v>1385</v>
      </c>
      <c r="E123" s="179">
        <v>569</v>
      </c>
      <c r="F123" s="179">
        <v>235</v>
      </c>
      <c r="G123" s="179">
        <v>13</v>
      </c>
      <c r="H123" s="179">
        <v>35</v>
      </c>
      <c r="I123" s="179">
        <v>2</v>
      </c>
      <c r="J123" s="180">
        <f t="shared" si="4"/>
        <v>2239</v>
      </c>
      <c r="K123" s="190" t="str">
        <f t="shared" si="5"/>
        <v>S</v>
      </c>
      <c r="L123" s="190"/>
      <c r="M123" s="190"/>
      <c r="N123" s="191"/>
      <c r="O123" s="191"/>
      <c r="P123" s="191"/>
      <c r="Q123" s="181">
        <f t="shared" si="6"/>
        <v>300000</v>
      </c>
      <c r="R123" s="175">
        <f t="shared" si="7"/>
        <v>300000</v>
      </c>
      <c r="S123" s="192"/>
    </row>
    <row r="124" spans="1:19" s="184" customFormat="1" ht="21.75" hidden="1" customHeight="1" x14ac:dyDescent="0.35">
      <c r="A124" s="184">
        <v>10773</v>
      </c>
      <c r="B124" s="198" t="s">
        <v>555</v>
      </c>
      <c r="C124" s="198" t="s">
        <v>556</v>
      </c>
      <c r="D124" s="96">
        <v>1102</v>
      </c>
      <c r="E124" s="179">
        <v>547</v>
      </c>
      <c r="F124" s="179">
        <v>175</v>
      </c>
      <c r="G124" s="179">
        <v>16</v>
      </c>
      <c r="H124" s="179">
        <v>33</v>
      </c>
      <c r="I124" s="179">
        <v>0</v>
      </c>
      <c r="J124" s="180">
        <f t="shared" si="4"/>
        <v>1873</v>
      </c>
      <c r="K124" s="190" t="str">
        <f t="shared" si="5"/>
        <v>SS</v>
      </c>
      <c r="L124" s="190"/>
      <c r="M124" s="190"/>
      <c r="N124" s="191"/>
      <c r="O124" s="191"/>
      <c r="P124" s="191"/>
      <c r="Q124" s="181">
        <f t="shared" si="6"/>
        <v>240000</v>
      </c>
      <c r="R124" s="175">
        <f t="shared" si="7"/>
        <v>240000</v>
      </c>
      <c r="S124" s="192"/>
    </row>
    <row r="125" spans="1:19" s="184" customFormat="1" ht="21.75" hidden="1" customHeight="1" x14ac:dyDescent="0.35">
      <c r="A125" s="184">
        <v>10773</v>
      </c>
      <c r="B125" s="196" t="s">
        <v>557</v>
      </c>
      <c r="C125" s="196" t="s">
        <v>558</v>
      </c>
      <c r="D125" s="98">
        <v>841</v>
      </c>
      <c r="E125" s="179">
        <v>446</v>
      </c>
      <c r="F125" s="179">
        <v>78</v>
      </c>
      <c r="G125" s="179">
        <v>12</v>
      </c>
      <c r="H125" s="179">
        <v>17</v>
      </c>
      <c r="I125" s="179">
        <v>0</v>
      </c>
      <c r="J125" s="180">
        <f t="shared" si="4"/>
        <v>1394</v>
      </c>
      <c r="K125" s="190" t="str">
        <f t="shared" si="5"/>
        <v>SS</v>
      </c>
      <c r="L125" s="190"/>
      <c r="M125" s="190"/>
      <c r="N125" s="191"/>
      <c r="O125" s="191"/>
      <c r="P125" s="191"/>
      <c r="Q125" s="181">
        <f t="shared" si="6"/>
        <v>240000</v>
      </c>
      <c r="R125" s="175">
        <f t="shared" si="7"/>
        <v>240000</v>
      </c>
      <c r="S125" s="192"/>
    </row>
    <row r="126" spans="1:19" s="184" customFormat="1" ht="21.75" hidden="1" customHeight="1" x14ac:dyDescent="0.35">
      <c r="A126" s="184">
        <v>10773</v>
      </c>
      <c r="B126" s="198" t="s">
        <v>559</v>
      </c>
      <c r="C126" s="198" t="s">
        <v>560</v>
      </c>
      <c r="D126" s="96">
        <v>2356</v>
      </c>
      <c r="E126" s="179">
        <v>967</v>
      </c>
      <c r="F126" s="179">
        <v>252</v>
      </c>
      <c r="G126" s="179">
        <v>18</v>
      </c>
      <c r="H126" s="179">
        <v>43</v>
      </c>
      <c r="I126" s="179">
        <v>9</v>
      </c>
      <c r="J126" s="180">
        <f t="shared" si="4"/>
        <v>3645</v>
      </c>
      <c r="K126" s="190" t="str">
        <f t="shared" si="5"/>
        <v>M</v>
      </c>
      <c r="L126" s="190"/>
      <c r="M126" s="190"/>
      <c r="N126" s="191"/>
      <c r="O126" s="191"/>
      <c r="P126" s="191"/>
      <c r="Q126" s="181">
        <f t="shared" si="6"/>
        <v>330000</v>
      </c>
      <c r="R126" s="175">
        <f t="shared" si="7"/>
        <v>330000</v>
      </c>
      <c r="S126" s="192"/>
    </row>
    <row r="127" spans="1:19" s="184" customFormat="1" ht="21.75" hidden="1" customHeight="1" x14ac:dyDescent="0.35">
      <c r="A127" s="184">
        <v>10773</v>
      </c>
      <c r="B127" s="198" t="s">
        <v>561</v>
      </c>
      <c r="C127" s="198" t="s">
        <v>562</v>
      </c>
      <c r="D127" s="96">
        <v>1162</v>
      </c>
      <c r="E127" s="179">
        <v>407</v>
      </c>
      <c r="F127" s="179">
        <v>131</v>
      </c>
      <c r="G127" s="179">
        <v>12</v>
      </c>
      <c r="H127" s="179">
        <v>18</v>
      </c>
      <c r="I127" s="179">
        <v>2</v>
      </c>
      <c r="J127" s="180">
        <f t="shared" si="4"/>
        <v>1732</v>
      </c>
      <c r="K127" s="190" t="str">
        <f t="shared" si="5"/>
        <v>SS</v>
      </c>
      <c r="L127" s="190"/>
      <c r="M127" s="190"/>
      <c r="N127" s="191"/>
      <c r="O127" s="191"/>
      <c r="P127" s="191"/>
      <c r="Q127" s="181">
        <f t="shared" si="6"/>
        <v>240000</v>
      </c>
      <c r="R127" s="175">
        <f t="shared" si="7"/>
        <v>240000</v>
      </c>
      <c r="S127" s="192"/>
    </row>
    <row r="128" spans="1:19" s="184" customFormat="1" ht="21.75" hidden="1" customHeight="1" x14ac:dyDescent="0.35">
      <c r="A128" s="184">
        <v>10773</v>
      </c>
      <c r="B128" s="196" t="s">
        <v>563</v>
      </c>
      <c r="C128" s="196" t="s">
        <v>564</v>
      </c>
      <c r="D128" s="98">
        <v>1960</v>
      </c>
      <c r="E128" s="179">
        <v>777</v>
      </c>
      <c r="F128" s="179">
        <v>190</v>
      </c>
      <c r="G128" s="179">
        <v>13</v>
      </c>
      <c r="H128" s="179">
        <v>26</v>
      </c>
      <c r="I128" s="179">
        <v>4</v>
      </c>
      <c r="J128" s="180">
        <f t="shared" si="4"/>
        <v>2970</v>
      </c>
      <c r="K128" s="190" t="str">
        <f t="shared" si="5"/>
        <v>S</v>
      </c>
      <c r="L128" s="190"/>
      <c r="M128" s="190"/>
      <c r="N128" s="191"/>
      <c r="O128" s="191"/>
      <c r="P128" s="191"/>
      <c r="Q128" s="181">
        <f t="shared" si="6"/>
        <v>300000</v>
      </c>
      <c r="R128" s="175">
        <f t="shared" si="7"/>
        <v>300000</v>
      </c>
      <c r="S128" s="192"/>
    </row>
    <row r="129" spans="1:21" s="184" customFormat="1" ht="21.75" hidden="1" customHeight="1" x14ac:dyDescent="0.35">
      <c r="A129" s="184">
        <v>10773</v>
      </c>
      <c r="B129" s="198" t="s">
        <v>565</v>
      </c>
      <c r="C129" s="198" t="s">
        <v>370</v>
      </c>
      <c r="D129" s="96">
        <v>990</v>
      </c>
      <c r="E129" s="179">
        <v>445</v>
      </c>
      <c r="F129" s="179">
        <v>82</v>
      </c>
      <c r="G129" s="179">
        <v>9</v>
      </c>
      <c r="H129" s="179">
        <v>8</v>
      </c>
      <c r="I129" s="179">
        <v>0</v>
      </c>
      <c r="J129" s="180">
        <f t="shared" si="4"/>
        <v>1534</v>
      </c>
      <c r="K129" s="190" t="str">
        <f t="shared" si="5"/>
        <v>SS</v>
      </c>
      <c r="L129" s="190"/>
      <c r="M129" s="190"/>
      <c r="N129" s="191"/>
      <c r="O129" s="191"/>
      <c r="P129" s="191"/>
      <c r="Q129" s="181">
        <f t="shared" si="6"/>
        <v>240000</v>
      </c>
      <c r="R129" s="175">
        <f t="shared" si="7"/>
        <v>240000</v>
      </c>
      <c r="S129" s="192"/>
    </row>
    <row r="130" spans="1:21" s="184" customFormat="1" ht="21.75" hidden="1" customHeight="1" x14ac:dyDescent="0.35">
      <c r="A130" s="184">
        <v>10773</v>
      </c>
      <c r="B130" s="196" t="s">
        <v>566</v>
      </c>
      <c r="C130" s="196" t="s">
        <v>567</v>
      </c>
      <c r="D130" s="98">
        <v>1676</v>
      </c>
      <c r="E130" s="179">
        <v>741</v>
      </c>
      <c r="F130" s="179">
        <v>403</v>
      </c>
      <c r="G130" s="179">
        <v>39</v>
      </c>
      <c r="H130" s="179">
        <v>46</v>
      </c>
      <c r="I130" s="179">
        <v>6</v>
      </c>
      <c r="J130" s="180">
        <f t="shared" si="4"/>
        <v>2911</v>
      </c>
      <c r="K130" s="190" t="str">
        <f t="shared" si="5"/>
        <v>S</v>
      </c>
      <c r="L130" s="190"/>
      <c r="M130" s="190"/>
      <c r="N130" s="191"/>
      <c r="O130" s="191"/>
      <c r="P130" s="191"/>
      <c r="Q130" s="181">
        <f t="shared" si="6"/>
        <v>300000</v>
      </c>
      <c r="R130" s="175">
        <f t="shared" si="7"/>
        <v>300000</v>
      </c>
      <c r="S130" s="192"/>
    </row>
    <row r="131" spans="1:21" s="184" customFormat="1" ht="21.75" hidden="1" customHeight="1" x14ac:dyDescent="0.35">
      <c r="A131" s="184">
        <v>10773</v>
      </c>
      <c r="B131" s="198" t="s">
        <v>568</v>
      </c>
      <c r="C131" s="198" t="s">
        <v>569</v>
      </c>
      <c r="D131" s="96">
        <v>1313</v>
      </c>
      <c r="E131" s="179">
        <v>557</v>
      </c>
      <c r="F131" s="179">
        <v>149</v>
      </c>
      <c r="G131" s="179">
        <v>13</v>
      </c>
      <c r="H131" s="179">
        <v>21</v>
      </c>
      <c r="I131" s="179">
        <v>3</v>
      </c>
      <c r="J131" s="180">
        <f t="shared" si="4"/>
        <v>2056</v>
      </c>
      <c r="K131" s="190" t="str">
        <f t="shared" si="5"/>
        <v>S</v>
      </c>
      <c r="L131" s="190"/>
      <c r="M131" s="190"/>
      <c r="N131" s="191"/>
      <c r="O131" s="191"/>
      <c r="P131" s="191"/>
      <c r="Q131" s="181">
        <f t="shared" si="6"/>
        <v>300000</v>
      </c>
      <c r="R131" s="175">
        <f t="shared" si="7"/>
        <v>300000</v>
      </c>
      <c r="S131" s="192"/>
    </row>
    <row r="132" spans="1:21" s="184" customFormat="1" ht="21.75" hidden="1" customHeight="1" x14ac:dyDescent="0.35">
      <c r="A132" s="184">
        <v>10773</v>
      </c>
      <c r="B132" s="196" t="s">
        <v>326</v>
      </c>
      <c r="C132" s="196" t="s">
        <v>327</v>
      </c>
      <c r="D132" s="98">
        <v>2292</v>
      </c>
      <c r="E132" s="179">
        <v>842</v>
      </c>
      <c r="F132" s="179">
        <v>237</v>
      </c>
      <c r="G132" s="179">
        <v>25</v>
      </c>
      <c r="H132" s="179">
        <v>35</v>
      </c>
      <c r="I132" s="179">
        <v>2</v>
      </c>
      <c r="J132" s="180">
        <f t="shared" si="4"/>
        <v>3433</v>
      </c>
      <c r="K132" s="190" t="str">
        <f t="shared" si="5"/>
        <v>M</v>
      </c>
      <c r="L132" s="190"/>
      <c r="M132" s="190"/>
      <c r="N132" s="191"/>
      <c r="O132" s="191"/>
      <c r="P132" s="191"/>
      <c r="Q132" s="181">
        <f t="shared" si="6"/>
        <v>330000</v>
      </c>
      <c r="R132" s="175">
        <f t="shared" si="7"/>
        <v>330000</v>
      </c>
      <c r="S132" s="192"/>
    </row>
    <row r="133" spans="1:21" s="184" customFormat="1" ht="21.75" hidden="1" customHeight="1" x14ac:dyDescent="0.35">
      <c r="A133" s="184">
        <v>10773</v>
      </c>
      <c r="B133" s="198" t="s">
        <v>328</v>
      </c>
      <c r="C133" s="198" t="s">
        <v>329</v>
      </c>
      <c r="D133" s="96">
        <v>1531</v>
      </c>
      <c r="E133" s="179">
        <v>790</v>
      </c>
      <c r="F133" s="179">
        <v>241</v>
      </c>
      <c r="G133" s="179">
        <v>40</v>
      </c>
      <c r="H133" s="179">
        <v>54</v>
      </c>
      <c r="I133" s="179">
        <v>7</v>
      </c>
      <c r="J133" s="180">
        <f t="shared" ref="J133:J196" si="8">SUM(D133:I133)</f>
        <v>2663</v>
      </c>
      <c r="K133" s="190" t="str">
        <f t="shared" ref="K133:K196" si="9">VLOOKUP(J133,$P$212:$Q$217,2)</f>
        <v>S</v>
      </c>
      <c r="L133" s="190"/>
      <c r="M133" s="190"/>
      <c r="N133" s="191"/>
      <c r="O133" s="191"/>
      <c r="P133" s="191"/>
      <c r="Q133" s="181">
        <f t="shared" ref="Q133:Q196" si="10">VLOOKUP(J133,$P$219:$Q$224,2)</f>
        <v>300000</v>
      </c>
      <c r="R133" s="175">
        <f t="shared" si="7"/>
        <v>300000</v>
      </c>
      <c r="S133" s="192"/>
    </row>
    <row r="134" spans="1:21" s="184" customFormat="1" ht="21.75" hidden="1" customHeight="1" x14ac:dyDescent="0.35">
      <c r="A134" s="184">
        <v>10773</v>
      </c>
      <c r="B134" s="196" t="s">
        <v>570</v>
      </c>
      <c r="C134" s="196" t="s">
        <v>571</v>
      </c>
      <c r="D134" s="98">
        <v>585</v>
      </c>
      <c r="E134" s="179">
        <v>257</v>
      </c>
      <c r="F134" s="179">
        <v>59</v>
      </c>
      <c r="G134" s="179">
        <v>2</v>
      </c>
      <c r="H134" s="179">
        <v>10</v>
      </c>
      <c r="I134" s="179">
        <v>2</v>
      </c>
      <c r="J134" s="180">
        <f t="shared" si="8"/>
        <v>915</v>
      </c>
      <c r="K134" s="190" t="str">
        <f t="shared" si="9"/>
        <v>SSS</v>
      </c>
      <c r="L134" s="190"/>
      <c r="M134" s="190"/>
      <c r="N134" s="191"/>
      <c r="O134" s="191"/>
      <c r="P134" s="191"/>
      <c r="Q134" s="181">
        <f t="shared" si="10"/>
        <v>192000</v>
      </c>
      <c r="R134" s="175">
        <f t="shared" si="7"/>
        <v>192000</v>
      </c>
      <c r="S134" s="192"/>
    </row>
    <row r="135" spans="1:21" s="184" customFormat="1" ht="21.75" hidden="1" customHeight="1" x14ac:dyDescent="0.35">
      <c r="A135" s="184">
        <v>10773</v>
      </c>
      <c r="B135" s="198" t="s">
        <v>572</v>
      </c>
      <c r="C135" s="198" t="s">
        <v>573</v>
      </c>
      <c r="D135" s="96">
        <v>1287</v>
      </c>
      <c r="E135" s="179">
        <v>610</v>
      </c>
      <c r="F135" s="179">
        <v>135</v>
      </c>
      <c r="G135" s="179">
        <v>18</v>
      </c>
      <c r="H135" s="179">
        <v>21</v>
      </c>
      <c r="I135" s="179">
        <v>4</v>
      </c>
      <c r="J135" s="180">
        <f t="shared" si="8"/>
        <v>2075</v>
      </c>
      <c r="K135" s="190" t="str">
        <f t="shared" si="9"/>
        <v>S</v>
      </c>
      <c r="L135" s="190"/>
      <c r="M135" s="190"/>
      <c r="N135" s="191"/>
      <c r="O135" s="191"/>
      <c r="P135" s="191"/>
      <c r="Q135" s="181">
        <f t="shared" si="10"/>
        <v>300000</v>
      </c>
      <c r="R135" s="175">
        <f t="shared" ref="R135:R198" si="11">VLOOKUP(J135,$P$219:$Q$224,2)</f>
        <v>300000</v>
      </c>
      <c r="S135" s="192"/>
    </row>
    <row r="136" spans="1:21" s="184" customFormat="1" ht="21.75" hidden="1" customHeight="1" x14ac:dyDescent="0.35">
      <c r="A136" s="184">
        <v>10774</v>
      </c>
      <c r="B136" s="198" t="s">
        <v>576</v>
      </c>
      <c r="C136" s="198" t="s">
        <v>577</v>
      </c>
      <c r="D136" s="96">
        <v>2334</v>
      </c>
      <c r="E136" s="179">
        <v>807</v>
      </c>
      <c r="F136" s="179">
        <v>369</v>
      </c>
      <c r="G136" s="179">
        <v>25</v>
      </c>
      <c r="H136" s="179">
        <v>54</v>
      </c>
      <c r="I136" s="179">
        <v>8</v>
      </c>
      <c r="J136" s="180">
        <f t="shared" si="8"/>
        <v>3597</v>
      </c>
      <c r="K136" s="190" t="str">
        <f t="shared" si="9"/>
        <v>M</v>
      </c>
      <c r="L136" s="190"/>
      <c r="M136" s="190"/>
      <c r="N136" s="191"/>
      <c r="O136" s="191"/>
      <c r="P136" s="191"/>
      <c r="Q136" s="181">
        <f t="shared" si="10"/>
        <v>330000</v>
      </c>
      <c r="R136" s="175">
        <f t="shared" si="11"/>
        <v>330000</v>
      </c>
      <c r="S136" s="192"/>
      <c r="U136" s="201"/>
    </row>
    <row r="137" spans="1:21" s="184" customFormat="1" ht="21.75" hidden="1" customHeight="1" x14ac:dyDescent="0.35">
      <c r="A137" s="184">
        <v>10774</v>
      </c>
      <c r="B137" s="196" t="s">
        <v>578</v>
      </c>
      <c r="C137" s="196" t="s">
        <v>579</v>
      </c>
      <c r="D137" s="98">
        <v>1262</v>
      </c>
      <c r="E137" s="179">
        <v>475</v>
      </c>
      <c r="F137" s="179">
        <v>201</v>
      </c>
      <c r="G137" s="179">
        <v>27</v>
      </c>
      <c r="H137" s="179">
        <v>26</v>
      </c>
      <c r="I137" s="179">
        <v>2</v>
      </c>
      <c r="J137" s="180">
        <f t="shared" si="8"/>
        <v>1993</v>
      </c>
      <c r="K137" s="190" t="str">
        <f t="shared" si="9"/>
        <v>SS</v>
      </c>
      <c r="L137" s="190"/>
      <c r="M137" s="190"/>
      <c r="N137" s="191"/>
      <c r="O137" s="191"/>
      <c r="P137" s="191"/>
      <c r="Q137" s="181">
        <f t="shared" si="10"/>
        <v>240000</v>
      </c>
      <c r="R137" s="175">
        <f t="shared" si="11"/>
        <v>240000</v>
      </c>
      <c r="S137" s="192"/>
      <c r="U137" s="201"/>
    </row>
    <row r="138" spans="1:21" s="184" customFormat="1" ht="21.75" hidden="1" customHeight="1" x14ac:dyDescent="0.35">
      <c r="A138" s="184">
        <v>10774</v>
      </c>
      <c r="B138" s="198" t="s">
        <v>580</v>
      </c>
      <c r="C138" s="198" t="s">
        <v>581</v>
      </c>
      <c r="D138" s="96">
        <v>1789</v>
      </c>
      <c r="E138" s="179">
        <v>747</v>
      </c>
      <c r="F138" s="179">
        <v>245</v>
      </c>
      <c r="G138" s="179">
        <v>23</v>
      </c>
      <c r="H138" s="179">
        <v>37</v>
      </c>
      <c r="I138" s="179">
        <v>6</v>
      </c>
      <c r="J138" s="180">
        <f t="shared" si="8"/>
        <v>2847</v>
      </c>
      <c r="K138" s="190" t="str">
        <f t="shared" si="9"/>
        <v>S</v>
      </c>
      <c r="L138" s="190"/>
      <c r="M138" s="190"/>
      <c r="N138" s="191"/>
      <c r="O138" s="191"/>
      <c r="P138" s="191"/>
      <c r="Q138" s="181">
        <f t="shared" si="10"/>
        <v>300000</v>
      </c>
      <c r="R138" s="175">
        <f t="shared" si="11"/>
        <v>300000</v>
      </c>
      <c r="S138" s="192"/>
      <c r="U138" s="201"/>
    </row>
    <row r="139" spans="1:21" s="184" customFormat="1" ht="21.75" hidden="1" customHeight="1" x14ac:dyDescent="0.35">
      <c r="A139" s="184">
        <v>10774</v>
      </c>
      <c r="B139" s="196" t="s">
        <v>582</v>
      </c>
      <c r="C139" s="196" t="s">
        <v>583</v>
      </c>
      <c r="D139" s="98">
        <v>1236</v>
      </c>
      <c r="E139" s="179">
        <v>576</v>
      </c>
      <c r="F139" s="179">
        <v>139</v>
      </c>
      <c r="G139" s="179">
        <v>25</v>
      </c>
      <c r="H139" s="179">
        <v>34</v>
      </c>
      <c r="I139" s="179">
        <v>2</v>
      </c>
      <c r="J139" s="180">
        <f t="shared" si="8"/>
        <v>2012</v>
      </c>
      <c r="K139" s="190" t="str">
        <f t="shared" si="9"/>
        <v>S</v>
      </c>
      <c r="L139" s="190"/>
      <c r="M139" s="190"/>
      <c r="N139" s="191"/>
      <c r="O139" s="191"/>
      <c r="P139" s="191"/>
      <c r="Q139" s="181">
        <f t="shared" si="10"/>
        <v>300000</v>
      </c>
      <c r="R139" s="175">
        <f t="shared" si="11"/>
        <v>300000</v>
      </c>
      <c r="S139" s="192"/>
      <c r="U139" s="201"/>
    </row>
    <row r="140" spans="1:21" s="184" customFormat="1" ht="21.75" hidden="1" customHeight="1" x14ac:dyDescent="0.35">
      <c r="A140" s="184">
        <v>10774</v>
      </c>
      <c r="B140" s="196" t="s">
        <v>380</v>
      </c>
      <c r="C140" s="196" t="s">
        <v>381</v>
      </c>
      <c r="D140" s="98">
        <v>1048</v>
      </c>
      <c r="E140" s="179">
        <v>528</v>
      </c>
      <c r="F140" s="179">
        <v>161</v>
      </c>
      <c r="G140" s="179">
        <v>38</v>
      </c>
      <c r="H140" s="179">
        <v>20</v>
      </c>
      <c r="I140" s="179">
        <v>7</v>
      </c>
      <c r="J140" s="180">
        <f t="shared" si="8"/>
        <v>1802</v>
      </c>
      <c r="K140" s="190" t="str">
        <f t="shared" si="9"/>
        <v>SS</v>
      </c>
      <c r="L140" s="190"/>
      <c r="M140" s="190"/>
      <c r="N140" s="191"/>
      <c r="O140" s="191"/>
      <c r="P140" s="191"/>
      <c r="Q140" s="181">
        <f t="shared" si="10"/>
        <v>240000</v>
      </c>
      <c r="R140" s="175">
        <f t="shared" si="11"/>
        <v>240000</v>
      </c>
      <c r="S140" s="192"/>
      <c r="U140" s="201"/>
    </row>
    <row r="141" spans="1:21" s="184" customFormat="1" ht="21.75" hidden="1" customHeight="1" x14ac:dyDescent="0.35">
      <c r="A141" s="184">
        <v>10774</v>
      </c>
      <c r="B141" s="198" t="s">
        <v>584</v>
      </c>
      <c r="C141" s="198" t="s">
        <v>585</v>
      </c>
      <c r="D141" s="199">
        <v>1241</v>
      </c>
      <c r="E141" s="179">
        <v>418</v>
      </c>
      <c r="F141" s="179">
        <v>92</v>
      </c>
      <c r="G141" s="179">
        <v>3</v>
      </c>
      <c r="H141" s="179">
        <v>10</v>
      </c>
      <c r="I141" s="179">
        <v>2</v>
      </c>
      <c r="J141" s="180">
        <f t="shared" si="8"/>
        <v>1766</v>
      </c>
      <c r="K141" s="190" t="str">
        <f t="shared" si="9"/>
        <v>SS</v>
      </c>
      <c r="L141" s="190"/>
      <c r="M141" s="190"/>
      <c r="N141" s="191"/>
      <c r="O141" s="191"/>
      <c r="P141" s="191"/>
      <c r="Q141" s="181">
        <f t="shared" si="10"/>
        <v>240000</v>
      </c>
      <c r="R141" s="175">
        <f t="shared" si="11"/>
        <v>240000</v>
      </c>
      <c r="S141" s="192"/>
      <c r="U141" s="201"/>
    </row>
    <row r="142" spans="1:21" s="184" customFormat="1" ht="21.75" hidden="1" customHeight="1" x14ac:dyDescent="0.35">
      <c r="A142" s="184">
        <v>10774</v>
      </c>
      <c r="B142" s="196" t="s">
        <v>586</v>
      </c>
      <c r="C142" s="196" t="s">
        <v>587</v>
      </c>
      <c r="D142" s="98">
        <v>1146</v>
      </c>
      <c r="E142" s="179">
        <v>416</v>
      </c>
      <c r="F142" s="179">
        <v>120</v>
      </c>
      <c r="G142" s="179">
        <v>23</v>
      </c>
      <c r="H142" s="179">
        <v>16</v>
      </c>
      <c r="I142" s="179">
        <v>1</v>
      </c>
      <c r="J142" s="180">
        <f t="shared" si="8"/>
        <v>1722</v>
      </c>
      <c r="K142" s="190" t="str">
        <f t="shared" si="9"/>
        <v>SS</v>
      </c>
      <c r="L142" s="190"/>
      <c r="M142" s="190"/>
      <c r="N142" s="191"/>
      <c r="O142" s="191"/>
      <c r="P142" s="191"/>
      <c r="Q142" s="181">
        <f t="shared" si="10"/>
        <v>240000</v>
      </c>
      <c r="R142" s="175">
        <f t="shared" si="11"/>
        <v>240000</v>
      </c>
      <c r="S142" s="192"/>
      <c r="U142" s="201"/>
    </row>
    <row r="143" spans="1:21" s="184" customFormat="1" ht="21.75" hidden="1" customHeight="1" x14ac:dyDescent="0.35">
      <c r="A143" s="184">
        <v>10774</v>
      </c>
      <c r="B143" s="198" t="s">
        <v>588</v>
      </c>
      <c r="C143" s="198" t="s">
        <v>589</v>
      </c>
      <c r="D143" s="96">
        <v>1269</v>
      </c>
      <c r="E143" s="179">
        <v>562</v>
      </c>
      <c r="F143" s="179">
        <v>220</v>
      </c>
      <c r="G143" s="179">
        <v>14</v>
      </c>
      <c r="H143" s="179">
        <v>20</v>
      </c>
      <c r="I143" s="179">
        <v>3</v>
      </c>
      <c r="J143" s="180">
        <f t="shared" si="8"/>
        <v>2088</v>
      </c>
      <c r="K143" s="190" t="str">
        <f t="shared" si="9"/>
        <v>S</v>
      </c>
      <c r="L143" s="190"/>
      <c r="M143" s="190"/>
      <c r="N143" s="191"/>
      <c r="O143" s="191"/>
      <c r="P143" s="191"/>
      <c r="Q143" s="181">
        <f t="shared" si="10"/>
        <v>300000</v>
      </c>
      <c r="R143" s="175">
        <f t="shared" si="11"/>
        <v>300000</v>
      </c>
      <c r="S143" s="192"/>
      <c r="U143" s="201"/>
    </row>
    <row r="144" spans="1:21" s="184" customFormat="1" ht="21.75" hidden="1" customHeight="1" x14ac:dyDescent="0.35">
      <c r="A144" s="184">
        <v>10774</v>
      </c>
      <c r="B144" s="196" t="s">
        <v>590</v>
      </c>
      <c r="C144" s="196" t="s">
        <v>591</v>
      </c>
      <c r="D144" s="197">
        <v>832</v>
      </c>
      <c r="E144" s="179">
        <v>284</v>
      </c>
      <c r="F144" s="179">
        <v>49</v>
      </c>
      <c r="G144" s="179">
        <v>7</v>
      </c>
      <c r="H144" s="179">
        <v>8</v>
      </c>
      <c r="I144" s="179">
        <v>1</v>
      </c>
      <c r="J144" s="180">
        <f t="shared" si="8"/>
        <v>1181</v>
      </c>
      <c r="K144" s="190" t="str">
        <f t="shared" si="9"/>
        <v>SS</v>
      </c>
      <c r="L144" s="190"/>
      <c r="M144" s="190"/>
      <c r="N144" s="191"/>
      <c r="O144" s="191"/>
      <c r="P144" s="191"/>
      <c r="Q144" s="181">
        <f t="shared" si="10"/>
        <v>240000</v>
      </c>
      <c r="R144" s="175">
        <f t="shared" si="11"/>
        <v>240000</v>
      </c>
      <c r="S144" s="192"/>
      <c r="U144" s="201"/>
    </row>
    <row r="145" spans="1:21" s="184" customFormat="1" ht="21.75" hidden="1" customHeight="1" x14ac:dyDescent="0.35">
      <c r="A145" s="184">
        <v>10774</v>
      </c>
      <c r="B145" s="198" t="s">
        <v>592</v>
      </c>
      <c r="C145" s="198" t="s">
        <v>373</v>
      </c>
      <c r="D145" s="96">
        <v>927</v>
      </c>
      <c r="E145" s="179">
        <v>361</v>
      </c>
      <c r="F145" s="179">
        <v>101</v>
      </c>
      <c r="G145" s="179">
        <v>12</v>
      </c>
      <c r="H145" s="179">
        <v>9.1999999999999993</v>
      </c>
      <c r="I145" s="179">
        <v>0</v>
      </c>
      <c r="J145" s="180">
        <f t="shared" si="8"/>
        <v>1410.2</v>
      </c>
      <c r="K145" s="190" t="str">
        <f t="shared" si="9"/>
        <v>SS</v>
      </c>
      <c r="L145" s="190"/>
      <c r="M145" s="190"/>
      <c r="N145" s="191"/>
      <c r="O145" s="191"/>
      <c r="P145" s="191"/>
      <c r="Q145" s="181">
        <f t="shared" si="10"/>
        <v>240000</v>
      </c>
      <c r="R145" s="175">
        <f t="shared" si="11"/>
        <v>240000</v>
      </c>
      <c r="S145" s="192"/>
      <c r="U145" s="201"/>
    </row>
    <row r="146" spans="1:21" s="184" customFormat="1" ht="21.75" hidden="1" customHeight="1" x14ac:dyDescent="0.35">
      <c r="A146" s="184">
        <v>10774</v>
      </c>
      <c r="B146" s="196" t="s">
        <v>593</v>
      </c>
      <c r="C146" s="196" t="s">
        <v>594</v>
      </c>
      <c r="D146" s="98">
        <v>1257</v>
      </c>
      <c r="E146" s="179">
        <v>496</v>
      </c>
      <c r="F146" s="179">
        <v>147</v>
      </c>
      <c r="G146" s="179">
        <v>13</v>
      </c>
      <c r="H146" s="179">
        <v>17</v>
      </c>
      <c r="I146" s="179">
        <v>2</v>
      </c>
      <c r="J146" s="180">
        <f t="shared" si="8"/>
        <v>1932</v>
      </c>
      <c r="K146" s="190" t="str">
        <f t="shared" si="9"/>
        <v>SS</v>
      </c>
      <c r="L146" s="190"/>
      <c r="M146" s="190"/>
      <c r="N146" s="191"/>
      <c r="O146" s="191"/>
      <c r="P146" s="191"/>
      <c r="Q146" s="181">
        <f t="shared" si="10"/>
        <v>240000</v>
      </c>
      <c r="R146" s="175">
        <f t="shared" si="11"/>
        <v>240000</v>
      </c>
      <c r="S146" s="192"/>
      <c r="U146" s="201"/>
    </row>
    <row r="147" spans="1:21" s="184" customFormat="1" ht="21.75" hidden="1" customHeight="1" x14ac:dyDescent="0.35">
      <c r="A147" s="184">
        <v>10774</v>
      </c>
      <c r="B147" s="198" t="s">
        <v>595</v>
      </c>
      <c r="C147" s="198" t="s">
        <v>596</v>
      </c>
      <c r="D147" s="96">
        <v>3839</v>
      </c>
      <c r="E147" s="179">
        <v>1286</v>
      </c>
      <c r="F147" s="179">
        <v>244</v>
      </c>
      <c r="G147" s="179">
        <v>89</v>
      </c>
      <c r="H147" s="179">
        <v>47</v>
      </c>
      <c r="I147" s="179">
        <v>12</v>
      </c>
      <c r="J147" s="180">
        <f t="shared" si="8"/>
        <v>5517</v>
      </c>
      <c r="K147" s="190" t="str">
        <f t="shared" si="9"/>
        <v>M</v>
      </c>
      <c r="L147" s="190"/>
      <c r="M147" s="190"/>
      <c r="N147" s="191"/>
      <c r="O147" s="191"/>
      <c r="P147" s="191"/>
      <c r="Q147" s="181">
        <f t="shared" si="10"/>
        <v>330000</v>
      </c>
      <c r="R147" s="175">
        <f t="shared" si="11"/>
        <v>330000</v>
      </c>
      <c r="S147" s="192"/>
      <c r="U147" s="201"/>
    </row>
    <row r="148" spans="1:21" s="184" customFormat="1" ht="21.75" hidden="1" customHeight="1" x14ac:dyDescent="0.35">
      <c r="A148" s="184">
        <v>10774</v>
      </c>
      <c r="B148" s="196" t="s">
        <v>597</v>
      </c>
      <c r="C148" s="196" t="s">
        <v>598</v>
      </c>
      <c r="D148" s="98">
        <v>2437</v>
      </c>
      <c r="E148" s="179">
        <v>722</v>
      </c>
      <c r="F148" s="179">
        <v>237</v>
      </c>
      <c r="G148" s="179">
        <v>33</v>
      </c>
      <c r="H148" s="179">
        <v>18</v>
      </c>
      <c r="I148" s="179">
        <v>8</v>
      </c>
      <c r="J148" s="180">
        <f t="shared" si="8"/>
        <v>3455</v>
      </c>
      <c r="K148" s="190" t="str">
        <f t="shared" si="9"/>
        <v>M</v>
      </c>
      <c r="L148" s="190"/>
      <c r="M148" s="190"/>
      <c r="N148" s="191"/>
      <c r="O148" s="191"/>
      <c r="P148" s="191"/>
      <c r="Q148" s="181">
        <f t="shared" si="10"/>
        <v>330000</v>
      </c>
      <c r="R148" s="175">
        <f t="shared" si="11"/>
        <v>330000</v>
      </c>
      <c r="S148" s="192"/>
      <c r="U148" s="201"/>
    </row>
    <row r="149" spans="1:21" s="184" customFormat="1" ht="21.75" hidden="1" customHeight="1" x14ac:dyDescent="0.35">
      <c r="A149" s="184">
        <v>10774</v>
      </c>
      <c r="B149" s="198" t="s">
        <v>599</v>
      </c>
      <c r="C149" s="198" t="s">
        <v>600</v>
      </c>
      <c r="D149" s="96">
        <v>1450</v>
      </c>
      <c r="E149" s="179">
        <v>442</v>
      </c>
      <c r="F149" s="179">
        <v>148</v>
      </c>
      <c r="G149" s="179">
        <v>14</v>
      </c>
      <c r="H149" s="179">
        <v>29</v>
      </c>
      <c r="I149" s="179">
        <v>2</v>
      </c>
      <c r="J149" s="180">
        <f t="shared" si="8"/>
        <v>2085</v>
      </c>
      <c r="K149" s="190" t="str">
        <f t="shared" si="9"/>
        <v>S</v>
      </c>
      <c r="L149" s="190"/>
      <c r="M149" s="190"/>
      <c r="N149" s="191"/>
      <c r="O149" s="191"/>
      <c r="P149" s="191"/>
      <c r="Q149" s="181">
        <f t="shared" si="10"/>
        <v>300000</v>
      </c>
      <c r="R149" s="175">
        <f t="shared" si="11"/>
        <v>300000</v>
      </c>
      <c r="S149" s="192"/>
      <c r="U149" s="201"/>
    </row>
    <row r="150" spans="1:21" s="184" customFormat="1" ht="21.75" hidden="1" customHeight="1" x14ac:dyDescent="0.35">
      <c r="A150" s="184">
        <v>10774</v>
      </c>
      <c r="B150" s="196" t="s">
        <v>601</v>
      </c>
      <c r="C150" s="196" t="s">
        <v>602</v>
      </c>
      <c r="D150" s="98">
        <v>1197</v>
      </c>
      <c r="E150" s="179">
        <v>577</v>
      </c>
      <c r="F150" s="179">
        <v>217</v>
      </c>
      <c r="G150" s="179">
        <v>18</v>
      </c>
      <c r="H150" s="179">
        <v>29</v>
      </c>
      <c r="I150" s="179">
        <v>0</v>
      </c>
      <c r="J150" s="180">
        <f t="shared" si="8"/>
        <v>2038</v>
      </c>
      <c r="K150" s="190" t="str">
        <f t="shared" si="9"/>
        <v>S</v>
      </c>
      <c r="L150" s="190"/>
      <c r="M150" s="190"/>
      <c r="N150" s="191"/>
      <c r="O150" s="191"/>
      <c r="P150" s="191"/>
      <c r="Q150" s="181">
        <f t="shared" si="10"/>
        <v>300000</v>
      </c>
      <c r="R150" s="175">
        <f t="shared" si="11"/>
        <v>300000</v>
      </c>
      <c r="S150" s="192"/>
      <c r="U150" s="201"/>
    </row>
    <row r="151" spans="1:21" s="184" customFormat="1" ht="21.75" hidden="1" customHeight="1" x14ac:dyDescent="0.35">
      <c r="A151" s="184">
        <v>10775</v>
      </c>
      <c r="B151" s="196" t="s">
        <v>605</v>
      </c>
      <c r="C151" s="196" t="s">
        <v>606</v>
      </c>
      <c r="D151" s="98">
        <v>1868</v>
      </c>
      <c r="E151" s="179">
        <v>1196</v>
      </c>
      <c r="F151" s="179">
        <v>258</v>
      </c>
      <c r="G151" s="179">
        <v>31</v>
      </c>
      <c r="H151" s="179">
        <v>53</v>
      </c>
      <c r="I151" s="179">
        <v>4</v>
      </c>
      <c r="J151" s="180">
        <f t="shared" si="8"/>
        <v>3410</v>
      </c>
      <c r="K151" s="190" t="str">
        <f t="shared" si="9"/>
        <v>M</v>
      </c>
      <c r="L151" s="190"/>
      <c r="M151" s="190"/>
      <c r="N151" s="191"/>
      <c r="O151" s="191"/>
      <c r="P151" s="191"/>
      <c r="Q151" s="181">
        <f t="shared" si="10"/>
        <v>330000</v>
      </c>
      <c r="R151" s="175">
        <f t="shared" si="11"/>
        <v>330000</v>
      </c>
      <c r="S151" s="192"/>
    </row>
    <row r="152" spans="1:21" s="184" customFormat="1" ht="21.75" hidden="1" customHeight="1" x14ac:dyDescent="0.35">
      <c r="A152" s="184">
        <v>10775</v>
      </c>
      <c r="B152" s="198" t="s">
        <v>607</v>
      </c>
      <c r="C152" s="198" t="s">
        <v>608</v>
      </c>
      <c r="D152" s="96">
        <v>3077</v>
      </c>
      <c r="E152" s="179">
        <v>1285</v>
      </c>
      <c r="F152" s="179">
        <v>177</v>
      </c>
      <c r="G152" s="179">
        <v>28</v>
      </c>
      <c r="H152" s="179">
        <v>30</v>
      </c>
      <c r="I152" s="179">
        <v>8</v>
      </c>
      <c r="J152" s="180">
        <f t="shared" si="8"/>
        <v>4605</v>
      </c>
      <c r="K152" s="190" t="str">
        <f t="shared" si="9"/>
        <v>M</v>
      </c>
      <c r="L152" s="190"/>
      <c r="M152" s="190"/>
      <c r="N152" s="191"/>
      <c r="O152" s="191"/>
      <c r="P152" s="191"/>
      <c r="Q152" s="181">
        <f t="shared" si="10"/>
        <v>330000</v>
      </c>
      <c r="R152" s="175">
        <f t="shared" si="11"/>
        <v>330000</v>
      </c>
      <c r="S152" s="192"/>
    </row>
    <row r="153" spans="1:21" s="184" customFormat="1" ht="21.75" hidden="1" customHeight="1" x14ac:dyDescent="0.35">
      <c r="A153" s="184">
        <v>10775</v>
      </c>
      <c r="B153" s="196" t="s">
        <v>609</v>
      </c>
      <c r="C153" s="196" t="s">
        <v>610</v>
      </c>
      <c r="D153" s="98">
        <v>1965</v>
      </c>
      <c r="E153" s="179">
        <v>855</v>
      </c>
      <c r="F153" s="179">
        <v>217</v>
      </c>
      <c r="G153" s="179">
        <v>21</v>
      </c>
      <c r="H153" s="179">
        <v>26</v>
      </c>
      <c r="I153" s="179">
        <v>8</v>
      </c>
      <c r="J153" s="180">
        <f t="shared" si="8"/>
        <v>3092</v>
      </c>
      <c r="K153" s="190" t="str">
        <f t="shared" si="9"/>
        <v>M</v>
      </c>
      <c r="L153" s="190"/>
      <c r="M153" s="190"/>
      <c r="N153" s="191"/>
      <c r="O153" s="191"/>
      <c r="P153" s="191"/>
      <c r="Q153" s="181">
        <f t="shared" si="10"/>
        <v>330000</v>
      </c>
      <c r="R153" s="175">
        <f t="shared" si="11"/>
        <v>330000</v>
      </c>
      <c r="S153" s="192"/>
    </row>
    <row r="154" spans="1:21" s="184" customFormat="1" ht="21.75" hidden="1" customHeight="1" x14ac:dyDescent="0.35">
      <c r="A154" s="184">
        <v>10775</v>
      </c>
      <c r="B154" s="198" t="s">
        <v>611</v>
      </c>
      <c r="C154" s="198" t="s">
        <v>612</v>
      </c>
      <c r="D154" s="96">
        <v>1579</v>
      </c>
      <c r="E154" s="179">
        <v>748</v>
      </c>
      <c r="F154" s="179">
        <v>257</v>
      </c>
      <c r="G154" s="179">
        <v>12</v>
      </c>
      <c r="H154" s="179">
        <v>37</v>
      </c>
      <c r="I154" s="179">
        <v>5</v>
      </c>
      <c r="J154" s="180">
        <f t="shared" si="8"/>
        <v>2638</v>
      </c>
      <c r="K154" s="190" t="str">
        <f t="shared" si="9"/>
        <v>S</v>
      </c>
      <c r="L154" s="190"/>
      <c r="M154" s="190"/>
      <c r="N154" s="191"/>
      <c r="O154" s="191"/>
      <c r="P154" s="191"/>
      <c r="Q154" s="181">
        <f t="shared" si="10"/>
        <v>300000</v>
      </c>
      <c r="R154" s="175">
        <f t="shared" si="11"/>
        <v>300000</v>
      </c>
      <c r="S154" s="192"/>
    </row>
    <row r="155" spans="1:21" s="184" customFormat="1" ht="21.75" hidden="1" customHeight="1" x14ac:dyDescent="0.35">
      <c r="A155" s="184">
        <v>10775</v>
      </c>
      <c r="B155" s="196" t="s">
        <v>613</v>
      </c>
      <c r="C155" s="196" t="s">
        <v>614</v>
      </c>
      <c r="D155" s="98">
        <v>2099</v>
      </c>
      <c r="E155" s="179">
        <v>1160</v>
      </c>
      <c r="F155" s="179">
        <v>259</v>
      </c>
      <c r="G155" s="179">
        <v>26</v>
      </c>
      <c r="H155" s="179">
        <v>45</v>
      </c>
      <c r="I155" s="179">
        <v>5</v>
      </c>
      <c r="J155" s="180">
        <f t="shared" si="8"/>
        <v>3594</v>
      </c>
      <c r="K155" s="190" t="str">
        <f t="shared" si="9"/>
        <v>M</v>
      </c>
      <c r="L155" s="190"/>
      <c r="M155" s="190"/>
      <c r="N155" s="191"/>
      <c r="O155" s="191"/>
      <c r="P155" s="191"/>
      <c r="Q155" s="181">
        <f t="shared" si="10"/>
        <v>330000</v>
      </c>
      <c r="R155" s="175">
        <f t="shared" si="11"/>
        <v>330000</v>
      </c>
      <c r="S155" s="192"/>
    </row>
    <row r="156" spans="1:21" s="184" customFormat="1" ht="21.75" hidden="1" customHeight="1" x14ac:dyDescent="0.35">
      <c r="A156" s="184">
        <v>10775</v>
      </c>
      <c r="B156" s="198" t="s">
        <v>615</v>
      </c>
      <c r="C156" s="198" t="s">
        <v>616</v>
      </c>
      <c r="D156" s="96">
        <v>2210</v>
      </c>
      <c r="E156" s="179">
        <v>1134</v>
      </c>
      <c r="F156" s="179">
        <v>170</v>
      </c>
      <c r="G156" s="179">
        <v>24</v>
      </c>
      <c r="H156" s="179">
        <v>34</v>
      </c>
      <c r="I156" s="179">
        <v>8</v>
      </c>
      <c r="J156" s="180">
        <f t="shared" si="8"/>
        <v>3580</v>
      </c>
      <c r="K156" s="190" t="str">
        <f t="shared" si="9"/>
        <v>M</v>
      </c>
      <c r="L156" s="190"/>
      <c r="M156" s="190"/>
      <c r="N156" s="191"/>
      <c r="O156" s="191"/>
      <c r="P156" s="191"/>
      <c r="Q156" s="181">
        <f t="shared" si="10"/>
        <v>330000</v>
      </c>
      <c r="R156" s="175">
        <f t="shared" si="11"/>
        <v>330000</v>
      </c>
      <c r="S156" s="192"/>
    </row>
    <row r="157" spans="1:21" s="184" customFormat="1" ht="21.75" hidden="1" customHeight="1" x14ac:dyDescent="0.35">
      <c r="A157" s="184">
        <v>10775</v>
      </c>
      <c r="B157" s="196" t="s">
        <v>617</v>
      </c>
      <c r="C157" s="196" t="s">
        <v>618</v>
      </c>
      <c r="D157" s="98">
        <v>1546</v>
      </c>
      <c r="E157" s="179">
        <v>730</v>
      </c>
      <c r="F157" s="179">
        <v>115</v>
      </c>
      <c r="G157" s="179">
        <v>10</v>
      </c>
      <c r="H157" s="179">
        <v>15</v>
      </c>
      <c r="I157" s="179">
        <v>3</v>
      </c>
      <c r="J157" s="180">
        <f t="shared" si="8"/>
        <v>2419</v>
      </c>
      <c r="K157" s="190" t="str">
        <f t="shared" si="9"/>
        <v>S</v>
      </c>
      <c r="L157" s="190"/>
      <c r="M157" s="190"/>
      <c r="N157" s="191"/>
      <c r="O157" s="191"/>
      <c r="P157" s="191"/>
      <c r="Q157" s="181">
        <f t="shared" si="10"/>
        <v>300000</v>
      </c>
      <c r="R157" s="175">
        <f t="shared" si="11"/>
        <v>300000</v>
      </c>
      <c r="S157" s="192"/>
    </row>
    <row r="158" spans="1:21" s="202" customFormat="1" ht="21.75" hidden="1" customHeight="1" x14ac:dyDescent="0.35">
      <c r="A158" s="202">
        <v>10776</v>
      </c>
      <c r="B158" s="203" t="s">
        <v>382</v>
      </c>
      <c r="C158" s="203" t="s">
        <v>383</v>
      </c>
      <c r="D158" s="127">
        <v>3654</v>
      </c>
      <c r="E158" s="204">
        <v>1112</v>
      </c>
      <c r="F158" s="204">
        <v>232</v>
      </c>
      <c r="G158" s="204">
        <v>44</v>
      </c>
      <c r="H158" s="204">
        <v>36</v>
      </c>
      <c r="I158" s="204">
        <v>12</v>
      </c>
      <c r="J158" s="180">
        <f t="shared" si="8"/>
        <v>5090</v>
      </c>
      <c r="K158" s="190" t="str">
        <f t="shared" si="9"/>
        <v>M</v>
      </c>
      <c r="L158" s="190"/>
      <c r="M158" s="190"/>
      <c r="N158" s="191"/>
      <c r="O158" s="191"/>
      <c r="P158" s="191"/>
      <c r="Q158" s="181">
        <f t="shared" si="10"/>
        <v>330000</v>
      </c>
      <c r="R158" s="175">
        <f t="shared" si="11"/>
        <v>330000</v>
      </c>
      <c r="S158" s="205"/>
    </row>
    <row r="159" spans="1:21" s="202" customFormat="1" ht="21.75" hidden="1" customHeight="1" x14ac:dyDescent="0.35">
      <c r="A159" s="202">
        <v>10776</v>
      </c>
      <c r="B159" s="206" t="s">
        <v>627</v>
      </c>
      <c r="C159" s="206" t="s">
        <v>628</v>
      </c>
      <c r="D159" s="171">
        <v>2395</v>
      </c>
      <c r="E159" s="204">
        <v>854</v>
      </c>
      <c r="F159" s="204">
        <v>117</v>
      </c>
      <c r="G159" s="204">
        <v>14</v>
      </c>
      <c r="H159" s="204">
        <v>20</v>
      </c>
      <c r="I159" s="204">
        <v>9</v>
      </c>
      <c r="J159" s="180">
        <f t="shared" si="8"/>
        <v>3409</v>
      </c>
      <c r="K159" s="190" t="str">
        <f t="shared" si="9"/>
        <v>M</v>
      </c>
      <c r="L159" s="190"/>
      <c r="M159" s="190"/>
      <c r="N159" s="191"/>
      <c r="O159" s="191"/>
      <c r="P159" s="191"/>
      <c r="Q159" s="181">
        <f t="shared" si="10"/>
        <v>330000</v>
      </c>
      <c r="R159" s="175">
        <f t="shared" si="11"/>
        <v>330000</v>
      </c>
      <c r="S159" s="205"/>
    </row>
    <row r="160" spans="1:21" s="202" customFormat="1" ht="21.75" hidden="1" customHeight="1" x14ac:dyDescent="0.35">
      <c r="A160" s="202">
        <v>10776</v>
      </c>
      <c r="B160" s="203" t="s">
        <v>384</v>
      </c>
      <c r="C160" s="203" t="s">
        <v>385</v>
      </c>
      <c r="D160" s="127">
        <v>3077</v>
      </c>
      <c r="E160" s="204">
        <v>938</v>
      </c>
      <c r="F160" s="204">
        <v>227</v>
      </c>
      <c r="G160" s="204">
        <v>10</v>
      </c>
      <c r="H160" s="204">
        <v>38</v>
      </c>
      <c r="I160" s="204">
        <v>6</v>
      </c>
      <c r="J160" s="180">
        <f t="shared" si="8"/>
        <v>4296</v>
      </c>
      <c r="K160" s="190" t="str">
        <f t="shared" si="9"/>
        <v>M</v>
      </c>
      <c r="L160" s="190"/>
      <c r="M160" s="190"/>
      <c r="N160" s="191"/>
      <c r="O160" s="191"/>
      <c r="P160" s="191"/>
      <c r="Q160" s="181">
        <f t="shared" si="10"/>
        <v>330000</v>
      </c>
      <c r="R160" s="175">
        <f t="shared" si="11"/>
        <v>330000</v>
      </c>
      <c r="S160" s="205"/>
    </row>
    <row r="161" spans="1:21" s="202" customFormat="1" ht="21.75" hidden="1" customHeight="1" x14ac:dyDescent="0.35">
      <c r="A161" s="202">
        <v>10776</v>
      </c>
      <c r="B161" s="206" t="s">
        <v>629</v>
      </c>
      <c r="C161" s="206" t="s">
        <v>630</v>
      </c>
      <c r="D161" s="125">
        <v>2366</v>
      </c>
      <c r="E161" s="204">
        <v>801</v>
      </c>
      <c r="F161" s="204">
        <v>131</v>
      </c>
      <c r="G161" s="204">
        <v>19</v>
      </c>
      <c r="H161" s="204">
        <v>16</v>
      </c>
      <c r="I161" s="204">
        <v>3</v>
      </c>
      <c r="J161" s="180">
        <f t="shared" si="8"/>
        <v>3336</v>
      </c>
      <c r="K161" s="190" t="str">
        <f t="shared" si="9"/>
        <v>M</v>
      </c>
      <c r="L161" s="190"/>
      <c r="M161" s="190"/>
      <c r="N161" s="191"/>
      <c r="O161" s="191"/>
      <c r="P161" s="191"/>
      <c r="Q161" s="181">
        <f t="shared" si="10"/>
        <v>330000</v>
      </c>
      <c r="R161" s="175">
        <f t="shared" si="11"/>
        <v>330000</v>
      </c>
      <c r="S161" s="205"/>
    </row>
    <row r="162" spans="1:21" s="202" customFormat="1" ht="21.75" hidden="1" customHeight="1" x14ac:dyDescent="0.35">
      <c r="A162" s="202">
        <v>10776</v>
      </c>
      <c r="B162" s="206" t="s">
        <v>386</v>
      </c>
      <c r="C162" s="206" t="s">
        <v>387</v>
      </c>
      <c r="D162" s="207">
        <v>1658</v>
      </c>
      <c r="E162" s="204">
        <v>759</v>
      </c>
      <c r="F162" s="204">
        <v>146</v>
      </c>
      <c r="G162" s="204">
        <v>32</v>
      </c>
      <c r="H162" s="204">
        <v>29</v>
      </c>
      <c r="I162" s="204">
        <v>5</v>
      </c>
      <c r="J162" s="180">
        <f t="shared" si="8"/>
        <v>2629</v>
      </c>
      <c r="K162" s="190" t="str">
        <f t="shared" si="9"/>
        <v>S</v>
      </c>
      <c r="L162" s="190"/>
      <c r="M162" s="190"/>
      <c r="N162" s="191"/>
      <c r="O162" s="191"/>
      <c r="P162" s="191"/>
      <c r="Q162" s="181">
        <f t="shared" si="10"/>
        <v>300000</v>
      </c>
      <c r="R162" s="175">
        <f t="shared" si="11"/>
        <v>300000</v>
      </c>
      <c r="S162" s="205"/>
    </row>
    <row r="163" spans="1:21" s="202" customFormat="1" ht="21.75" hidden="1" customHeight="1" x14ac:dyDescent="0.35">
      <c r="A163" s="202">
        <v>10776</v>
      </c>
      <c r="B163" s="203" t="s">
        <v>388</v>
      </c>
      <c r="C163" s="203" t="s">
        <v>389</v>
      </c>
      <c r="D163" s="127">
        <v>3047</v>
      </c>
      <c r="E163" s="204">
        <v>804</v>
      </c>
      <c r="F163" s="204">
        <v>147</v>
      </c>
      <c r="G163" s="204">
        <v>60</v>
      </c>
      <c r="H163" s="204">
        <v>23</v>
      </c>
      <c r="I163" s="204">
        <v>6</v>
      </c>
      <c r="J163" s="180">
        <f t="shared" si="8"/>
        <v>4087</v>
      </c>
      <c r="K163" s="190" t="str">
        <f t="shared" si="9"/>
        <v>M</v>
      </c>
      <c r="L163" s="190"/>
      <c r="M163" s="190"/>
      <c r="N163" s="191"/>
      <c r="O163" s="191"/>
      <c r="P163" s="191"/>
      <c r="Q163" s="181">
        <f t="shared" si="10"/>
        <v>330000</v>
      </c>
      <c r="R163" s="175">
        <f t="shared" si="11"/>
        <v>330000</v>
      </c>
      <c r="S163" s="205"/>
    </row>
    <row r="164" spans="1:21" s="202" customFormat="1" ht="21.75" hidden="1" customHeight="1" x14ac:dyDescent="0.35">
      <c r="A164" s="202">
        <v>10776</v>
      </c>
      <c r="B164" s="206" t="s">
        <v>631</v>
      </c>
      <c r="C164" s="206" t="s">
        <v>632</v>
      </c>
      <c r="D164" s="125">
        <v>2400</v>
      </c>
      <c r="E164" s="204">
        <v>759</v>
      </c>
      <c r="F164" s="204">
        <v>198</v>
      </c>
      <c r="G164" s="204">
        <v>10</v>
      </c>
      <c r="H164" s="204">
        <v>13</v>
      </c>
      <c r="I164" s="204">
        <v>2</v>
      </c>
      <c r="J164" s="180">
        <f t="shared" si="8"/>
        <v>3382</v>
      </c>
      <c r="K164" s="190" t="str">
        <f t="shared" si="9"/>
        <v>M</v>
      </c>
      <c r="L164" s="190"/>
      <c r="M164" s="190"/>
      <c r="N164" s="191"/>
      <c r="O164" s="191"/>
      <c r="P164" s="191"/>
      <c r="Q164" s="181">
        <f t="shared" si="10"/>
        <v>330000</v>
      </c>
      <c r="R164" s="175">
        <f t="shared" si="11"/>
        <v>330000</v>
      </c>
      <c r="S164" s="205"/>
    </row>
    <row r="165" spans="1:21" s="202" customFormat="1" ht="21.75" hidden="1" customHeight="1" x14ac:dyDescent="0.35">
      <c r="A165" s="202">
        <v>10776</v>
      </c>
      <c r="B165" s="206" t="s">
        <v>428</v>
      </c>
      <c r="C165" s="206" t="s">
        <v>429</v>
      </c>
      <c r="D165" s="125">
        <v>4846</v>
      </c>
      <c r="E165" s="204">
        <v>1577</v>
      </c>
      <c r="F165" s="204">
        <v>472</v>
      </c>
      <c r="G165" s="204">
        <v>52</v>
      </c>
      <c r="H165" s="204">
        <v>66</v>
      </c>
      <c r="I165" s="204">
        <v>17</v>
      </c>
      <c r="J165" s="180">
        <f>SUM(D165:I165)</f>
        <v>7030</v>
      </c>
      <c r="K165" s="190" t="str">
        <f t="shared" si="9"/>
        <v>M</v>
      </c>
      <c r="L165" s="190"/>
      <c r="M165" s="190"/>
      <c r="N165" s="191"/>
      <c r="O165" s="191"/>
      <c r="P165" s="191"/>
      <c r="Q165" s="181">
        <f t="shared" si="10"/>
        <v>330000</v>
      </c>
      <c r="R165" s="175">
        <f t="shared" si="11"/>
        <v>330000</v>
      </c>
      <c r="S165" s="205"/>
    </row>
    <row r="166" spans="1:21" s="184" customFormat="1" ht="21.75" hidden="1" customHeight="1" x14ac:dyDescent="0.35">
      <c r="A166" s="184">
        <v>10777</v>
      </c>
      <c r="B166" s="208" t="s">
        <v>637</v>
      </c>
      <c r="C166" s="208" t="s">
        <v>638</v>
      </c>
      <c r="D166" s="113">
        <v>3035</v>
      </c>
      <c r="E166" s="179">
        <v>1395</v>
      </c>
      <c r="F166" s="179">
        <v>391</v>
      </c>
      <c r="G166" s="179">
        <v>35</v>
      </c>
      <c r="H166" s="179">
        <v>60</v>
      </c>
      <c r="I166" s="179">
        <v>11</v>
      </c>
      <c r="J166" s="180">
        <f t="shared" si="8"/>
        <v>4927</v>
      </c>
      <c r="K166" s="190" t="str">
        <f t="shared" si="9"/>
        <v>M</v>
      </c>
      <c r="L166" s="190"/>
      <c r="M166" s="190"/>
      <c r="N166" s="191"/>
      <c r="O166" s="191"/>
      <c r="P166" s="191"/>
      <c r="Q166" s="181">
        <f t="shared" si="10"/>
        <v>330000</v>
      </c>
      <c r="R166" s="175">
        <f t="shared" si="11"/>
        <v>330000</v>
      </c>
      <c r="S166" s="192"/>
    </row>
    <row r="167" spans="1:21" s="184" customFormat="1" ht="21.75" hidden="1" customHeight="1" x14ac:dyDescent="0.35">
      <c r="A167" s="184">
        <v>10777</v>
      </c>
      <c r="B167" s="208" t="s">
        <v>639</v>
      </c>
      <c r="C167" s="208" t="s">
        <v>640</v>
      </c>
      <c r="D167" s="103">
        <v>7462</v>
      </c>
      <c r="E167" s="179">
        <v>4277</v>
      </c>
      <c r="F167" s="179">
        <v>833</v>
      </c>
      <c r="G167" s="179">
        <v>86</v>
      </c>
      <c r="H167" s="179">
        <v>148</v>
      </c>
      <c r="I167" s="179">
        <v>26</v>
      </c>
      <c r="J167" s="180">
        <f t="shared" si="8"/>
        <v>12832</v>
      </c>
      <c r="K167" s="190" t="str">
        <f t="shared" si="9"/>
        <v>L</v>
      </c>
      <c r="L167" s="190"/>
      <c r="M167" s="190"/>
      <c r="N167" s="191"/>
      <c r="O167" s="191"/>
      <c r="P167" s="191"/>
      <c r="Q167" s="181">
        <f t="shared" si="10"/>
        <v>360000</v>
      </c>
      <c r="R167" s="175">
        <f t="shared" si="11"/>
        <v>360000</v>
      </c>
      <c r="S167" s="192"/>
    </row>
    <row r="168" spans="1:21" s="184" customFormat="1" ht="21.75" hidden="1" customHeight="1" x14ac:dyDescent="0.35">
      <c r="A168" s="184">
        <v>10777</v>
      </c>
      <c r="B168" s="209" t="s">
        <v>545</v>
      </c>
      <c r="C168" s="209" t="s">
        <v>546</v>
      </c>
      <c r="D168" s="113">
        <v>5016</v>
      </c>
      <c r="E168" s="179">
        <v>1846</v>
      </c>
      <c r="F168" s="179">
        <v>274</v>
      </c>
      <c r="G168" s="179">
        <v>15</v>
      </c>
      <c r="H168" s="179">
        <v>45</v>
      </c>
      <c r="I168" s="179">
        <v>13</v>
      </c>
      <c r="J168" s="180">
        <f t="shared" si="8"/>
        <v>7209</v>
      </c>
      <c r="K168" s="190" t="str">
        <f t="shared" si="9"/>
        <v>M</v>
      </c>
      <c r="L168" s="190"/>
      <c r="M168" s="190"/>
      <c r="N168" s="191"/>
      <c r="O168" s="191"/>
      <c r="P168" s="191"/>
      <c r="Q168" s="181">
        <f t="shared" si="10"/>
        <v>330000</v>
      </c>
      <c r="R168" s="175">
        <f t="shared" si="11"/>
        <v>330000</v>
      </c>
      <c r="S168" s="192"/>
    </row>
    <row r="169" spans="1:21" s="184" customFormat="1" ht="21.75" hidden="1" customHeight="1" x14ac:dyDescent="0.35">
      <c r="A169" s="184">
        <v>10777</v>
      </c>
      <c r="B169" s="208" t="s">
        <v>641</v>
      </c>
      <c r="C169" s="208" t="s">
        <v>642</v>
      </c>
      <c r="D169" s="103">
        <v>477</v>
      </c>
      <c r="E169" s="179">
        <v>468</v>
      </c>
      <c r="F169" s="179">
        <v>41</v>
      </c>
      <c r="G169" s="179">
        <v>2</v>
      </c>
      <c r="H169" s="179">
        <v>10</v>
      </c>
      <c r="I169" s="179">
        <v>3</v>
      </c>
      <c r="J169" s="180">
        <f t="shared" si="8"/>
        <v>1001</v>
      </c>
      <c r="K169" s="190" t="str">
        <f t="shared" si="9"/>
        <v>SS</v>
      </c>
      <c r="L169" s="190"/>
      <c r="M169" s="190"/>
      <c r="N169" s="191"/>
      <c r="O169" s="191"/>
      <c r="P169" s="191"/>
      <c r="Q169" s="181">
        <f t="shared" si="10"/>
        <v>240000</v>
      </c>
      <c r="R169" s="175">
        <f t="shared" si="11"/>
        <v>240000</v>
      </c>
      <c r="S169" s="192"/>
    </row>
    <row r="170" spans="1:21" s="184" customFormat="1" ht="21.75" hidden="1" customHeight="1" x14ac:dyDescent="0.35">
      <c r="A170" s="184">
        <v>10777</v>
      </c>
      <c r="B170" s="208" t="s">
        <v>643</v>
      </c>
      <c r="C170" s="208" t="s">
        <v>644</v>
      </c>
      <c r="D170" s="103">
        <v>2267</v>
      </c>
      <c r="E170" s="179">
        <v>969</v>
      </c>
      <c r="F170" s="179">
        <v>97</v>
      </c>
      <c r="G170" s="179">
        <v>22</v>
      </c>
      <c r="H170" s="179">
        <v>11</v>
      </c>
      <c r="I170" s="179">
        <v>8</v>
      </c>
      <c r="J170" s="180">
        <f t="shared" si="8"/>
        <v>3374</v>
      </c>
      <c r="K170" s="190" t="str">
        <f t="shared" si="9"/>
        <v>M</v>
      </c>
      <c r="L170" s="190"/>
      <c r="M170" s="190"/>
      <c r="N170" s="191"/>
      <c r="O170" s="191"/>
      <c r="P170" s="191"/>
      <c r="Q170" s="181">
        <f t="shared" si="10"/>
        <v>330000</v>
      </c>
      <c r="R170" s="175">
        <f t="shared" si="11"/>
        <v>330000</v>
      </c>
      <c r="S170" s="192"/>
    </row>
    <row r="171" spans="1:21" s="184" customFormat="1" ht="21.75" hidden="1" customHeight="1" x14ac:dyDescent="0.35">
      <c r="A171" s="184">
        <v>10777</v>
      </c>
      <c r="B171" s="209" t="s">
        <v>547</v>
      </c>
      <c r="C171" s="209" t="s">
        <v>548</v>
      </c>
      <c r="D171" s="113">
        <v>4925</v>
      </c>
      <c r="E171" s="179">
        <v>3679</v>
      </c>
      <c r="F171" s="179">
        <v>594</v>
      </c>
      <c r="G171" s="179">
        <v>52</v>
      </c>
      <c r="H171" s="179">
        <v>149</v>
      </c>
      <c r="I171" s="179">
        <v>21</v>
      </c>
      <c r="J171" s="180">
        <f t="shared" si="8"/>
        <v>9420</v>
      </c>
      <c r="K171" s="190" t="str">
        <f t="shared" si="9"/>
        <v>L</v>
      </c>
      <c r="L171" s="190"/>
      <c r="M171" s="190"/>
      <c r="N171" s="191"/>
      <c r="O171" s="191"/>
      <c r="P171" s="191"/>
      <c r="Q171" s="181">
        <f t="shared" si="10"/>
        <v>360000</v>
      </c>
      <c r="R171" s="175">
        <f t="shared" si="11"/>
        <v>360000</v>
      </c>
      <c r="S171" s="192"/>
    </row>
    <row r="172" spans="1:21" s="184" customFormat="1" ht="21.75" hidden="1" customHeight="1" x14ac:dyDescent="0.35">
      <c r="A172" s="184">
        <v>10777</v>
      </c>
      <c r="B172" s="208" t="s">
        <v>645</v>
      </c>
      <c r="C172" s="208" t="s">
        <v>646</v>
      </c>
      <c r="D172" s="103">
        <v>2361</v>
      </c>
      <c r="E172" s="179">
        <v>958</v>
      </c>
      <c r="F172" s="179">
        <v>94</v>
      </c>
      <c r="G172" s="179">
        <v>26</v>
      </c>
      <c r="H172" s="179">
        <v>21</v>
      </c>
      <c r="I172" s="179">
        <v>5</v>
      </c>
      <c r="J172" s="180">
        <f t="shared" si="8"/>
        <v>3465</v>
      </c>
      <c r="K172" s="190" t="str">
        <f t="shared" si="9"/>
        <v>M</v>
      </c>
      <c r="L172" s="190"/>
      <c r="M172" s="190"/>
      <c r="N172" s="191"/>
      <c r="O172" s="191"/>
      <c r="P172" s="191"/>
      <c r="Q172" s="181">
        <f t="shared" si="10"/>
        <v>330000</v>
      </c>
      <c r="R172" s="175">
        <f t="shared" si="11"/>
        <v>330000</v>
      </c>
      <c r="S172" s="192"/>
    </row>
    <row r="173" spans="1:21" s="184" customFormat="1" ht="21.75" hidden="1" customHeight="1" x14ac:dyDescent="0.35">
      <c r="A173" s="184">
        <v>10777</v>
      </c>
      <c r="B173" s="209" t="s">
        <v>647</v>
      </c>
      <c r="C173" s="209" t="s">
        <v>648</v>
      </c>
      <c r="D173" s="113">
        <v>2186</v>
      </c>
      <c r="E173" s="179">
        <v>1102</v>
      </c>
      <c r="F173" s="179">
        <v>175</v>
      </c>
      <c r="G173" s="179">
        <v>35</v>
      </c>
      <c r="H173" s="179">
        <v>32</v>
      </c>
      <c r="I173" s="179">
        <v>8</v>
      </c>
      <c r="J173" s="180">
        <f t="shared" si="8"/>
        <v>3538</v>
      </c>
      <c r="K173" s="190" t="str">
        <f t="shared" si="9"/>
        <v>M</v>
      </c>
      <c r="L173" s="190"/>
      <c r="M173" s="190"/>
      <c r="N173" s="191"/>
      <c r="O173" s="191"/>
      <c r="P173" s="191"/>
      <c r="Q173" s="181">
        <f t="shared" si="10"/>
        <v>330000</v>
      </c>
      <c r="R173" s="175">
        <f t="shared" si="11"/>
        <v>330000</v>
      </c>
      <c r="S173" s="192"/>
    </row>
    <row r="174" spans="1:21" s="184" customFormat="1" ht="21.75" hidden="1" customHeight="1" x14ac:dyDescent="0.35">
      <c r="A174" s="184">
        <v>10777</v>
      </c>
      <c r="B174" s="208" t="s">
        <v>649</v>
      </c>
      <c r="C174" s="208" t="s">
        <v>650</v>
      </c>
      <c r="D174" s="103">
        <v>1426</v>
      </c>
      <c r="E174" s="179">
        <v>721</v>
      </c>
      <c r="F174" s="179">
        <v>67</v>
      </c>
      <c r="G174" s="179">
        <v>12</v>
      </c>
      <c r="H174" s="179">
        <v>20</v>
      </c>
      <c r="I174" s="179">
        <v>0</v>
      </c>
      <c r="J174" s="180">
        <f t="shared" si="8"/>
        <v>2246</v>
      </c>
      <c r="K174" s="190" t="str">
        <f t="shared" si="9"/>
        <v>S</v>
      </c>
      <c r="L174" s="190"/>
      <c r="M174" s="190"/>
      <c r="N174" s="191"/>
      <c r="O174" s="191"/>
      <c r="P174" s="191"/>
      <c r="Q174" s="181">
        <f t="shared" si="10"/>
        <v>300000</v>
      </c>
      <c r="R174" s="175">
        <f t="shared" si="11"/>
        <v>300000</v>
      </c>
      <c r="S174" s="192"/>
    </row>
    <row r="175" spans="1:21" s="184" customFormat="1" ht="21.75" hidden="1" customHeight="1" x14ac:dyDescent="0.35">
      <c r="A175" s="184">
        <v>10777</v>
      </c>
      <c r="B175" s="209" t="s">
        <v>651</v>
      </c>
      <c r="C175" s="209" t="s">
        <v>652</v>
      </c>
      <c r="D175" s="113">
        <v>4097</v>
      </c>
      <c r="E175" s="179">
        <v>1558</v>
      </c>
      <c r="F175" s="179">
        <v>175</v>
      </c>
      <c r="G175" s="179">
        <v>20</v>
      </c>
      <c r="H175" s="179">
        <v>35</v>
      </c>
      <c r="I175" s="179">
        <v>2</v>
      </c>
      <c r="J175" s="180">
        <f t="shared" si="8"/>
        <v>5887</v>
      </c>
      <c r="K175" s="190" t="str">
        <f t="shared" si="9"/>
        <v>M</v>
      </c>
      <c r="L175" s="190"/>
      <c r="M175" s="190"/>
      <c r="N175" s="191"/>
      <c r="O175" s="191"/>
      <c r="P175" s="191"/>
      <c r="Q175" s="181">
        <f t="shared" si="10"/>
        <v>330000</v>
      </c>
      <c r="R175" s="175">
        <f t="shared" si="11"/>
        <v>330000</v>
      </c>
      <c r="S175" s="192"/>
    </row>
    <row r="176" spans="1:21" s="184" customFormat="1" ht="21.75" hidden="1" customHeight="1" x14ac:dyDescent="0.35">
      <c r="A176" s="184">
        <v>10778</v>
      </c>
      <c r="B176" s="196" t="s">
        <v>659</v>
      </c>
      <c r="C176" s="196" t="s">
        <v>660</v>
      </c>
      <c r="D176" s="98">
        <v>1271</v>
      </c>
      <c r="E176" s="179">
        <v>476</v>
      </c>
      <c r="F176" s="179">
        <v>99</v>
      </c>
      <c r="G176" s="179">
        <v>14</v>
      </c>
      <c r="H176" s="179">
        <v>15</v>
      </c>
      <c r="I176" s="179">
        <v>3</v>
      </c>
      <c r="J176" s="180">
        <f t="shared" si="8"/>
        <v>1878</v>
      </c>
      <c r="K176" s="190" t="str">
        <f t="shared" si="9"/>
        <v>SS</v>
      </c>
      <c r="L176" s="190"/>
      <c r="M176" s="190"/>
      <c r="N176" s="191"/>
      <c r="O176" s="191"/>
      <c r="P176" s="191"/>
      <c r="Q176" s="181">
        <f t="shared" si="10"/>
        <v>240000</v>
      </c>
      <c r="R176" s="175">
        <f t="shared" si="11"/>
        <v>240000</v>
      </c>
      <c r="S176" s="192"/>
      <c r="U176" s="201"/>
    </row>
    <row r="177" spans="1:21" s="184" customFormat="1" ht="21.75" hidden="1" customHeight="1" x14ac:dyDescent="0.35">
      <c r="A177" s="184">
        <v>10778</v>
      </c>
      <c r="B177" s="198" t="s">
        <v>422</v>
      </c>
      <c r="C177" s="198" t="s">
        <v>423</v>
      </c>
      <c r="D177" s="96">
        <v>1465</v>
      </c>
      <c r="E177" s="179">
        <v>672</v>
      </c>
      <c r="F177" s="179">
        <v>188</v>
      </c>
      <c r="G177" s="179">
        <v>35</v>
      </c>
      <c r="H177" s="179">
        <v>34</v>
      </c>
      <c r="I177" s="179">
        <v>1</v>
      </c>
      <c r="J177" s="180">
        <f t="shared" si="8"/>
        <v>2395</v>
      </c>
      <c r="K177" s="190" t="str">
        <f t="shared" si="9"/>
        <v>S</v>
      </c>
      <c r="L177" s="190"/>
      <c r="M177" s="190"/>
      <c r="N177" s="191"/>
      <c r="O177" s="191"/>
      <c r="P177" s="191"/>
      <c r="Q177" s="181">
        <f t="shared" si="10"/>
        <v>300000</v>
      </c>
      <c r="R177" s="175">
        <f t="shared" si="11"/>
        <v>300000</v>
      </c>
      <c r="S177" s="192"/>
      <c r="U177" s="201"/>
    </row>
    <row r="178" spans="1:21" s="184" customFormat="1" ht="21.75" hidden="1" customHeight="1" x14ac:dyDescent="0.35">
      <c r="A178" s="184">
        <v>10778</v>
      </c>
      <c r="B178" s="196" t="s">
        <v>424</v>
      </c>
      <c r="C178" s="196" t="s">
        <v>425</v>
      </c>
      <c r="D178" s="98">
        <v>1150</v>
      </c>
      <c r="E178" s="179">
        <v>494</v>
      </c>
      <c r="F178" s="179">
        <v>68</v>
      </c>
      <c r="G178" s="179">
        <v>4</v>
      </c>
      <c r="H178" s="179">
        <v>15</v>
      </c>
      <c r="I178" s="179">
        <v>1</v>
      </c>
      <c r="J178" s="180">
        <f t="shared" si="8"/>
        <v>1732</v>
      </c>
      <c r="K178" s="190" t="str">
        <f t="shared" si="9"/>
        <v>SS</v>
      </c>
      <c r="L178" s="190"/>
      <c r="M178" s="190"/>
      <c r="N178" s="191"/>
      <c r="O178" s="191"/>
      <c r="P178" s="191"/>
      <c r="Q178" s="181">
        <f t="shared" si="10"/>
        <v>240000</v>
      </c>
      <c r="R178" s="175">
        <f t="shared" si="11"/>
        <v>240000</v>
      </c>
      <c r="S178" s="192"/>
      <c r="U178" s="201"/>
    </row>
    <row r="179" spans="1:21" s="184" customFormat="1" ht="21.75" hidden="1" customHeight="1" x14ac:dyDescent="0.35">
      <c r="A179" s="184">
        <v>10778</v>
      </c>
      <c r="B179" s="196" t="s">
        <v>426</v>
      </c>
      <c r="C179" s="196" t="s">
        <v>427</v>
      </c>
      <c r="D179" s="96">
        <v>1866</v>
      </c>
      <c r="E179" s="179">
        <v>768</v>
      </c>
      <c r="F179" s="179">
        <v>142</v>
      </c>
      <c r="G179" s="179">
        <v>29</v>
      </c>
      <c r="H179" s="179">
        <v>26</v>
      </c>
      <c r="I179" s="179">
        <v>4</v>
      </c>
      <c r="J179" s="180">
        <f t="shared" si="8"/>
        <v>2835</v>
      </c>
      <c r="K179" s="190" t="str">
        <f t="shared" si="9"/>
        <v>S</v>
      </c>
      <c r="L179" s="190"/>
      <c r="M179" s="190"/>
      <c r="N179" s="191"/>
      <c r="O179" s="191"/>
      <c r="P179" s="191"/>
      <c r="Q179" s="181">
        <f t="shared" si="10"/>
        <v>300000</v>
      </c>
      <c r="R179" s="175">
        <f t="shared" si="11"/>
        <v>300000</v>
      </c>
      <c r="S179" s="192"/>
      <c r="U179" s="201"/>
    </row>
    <row r="180" spans="1:21" s="184" customFormat="1" ht="21.75" hidden="1" customHeight="1" x14ac:dyDescent="0.35">
      <c r="A180" s="184">
        <v>10778</v>
      </c>
      <c r="B180" s="198" t="s">
        <v>633</v>
      </c>
      <c r="C180" s="198" t="s">
        <v>634</v>
      </c>
      <c r="D180" s="98">
        <v>2402</v>
      </c>
      <c r="E180" s="179">
        <v>871</v>
      </c>
      <c r="F180" s="179">
        <v>150</v>
      </c>
      <c r="G180" s="179">
        <v>13</v>
      </c>
      <c r="H180" s="179">
        <v>25</v>
      </c>
      <c r="I180" s="179">
        <v>11</v>
      </c>
      <c r="J180" s="180">
        <f t="shared" si="8"/>
        <v>3472</v>
      </c>
      <c r="K180" s="190" t="str">
        <f t="shared" si="9"/>
        <v>M</v>
      </c>
      <c r="L180" s="190"/>
      <c r="M180" s="190"/>
      <c r="N180" s="191"/>
      <c r="O180" s="191"/>
      <c r="P180" s="191"/>
      <c r="Q180" s="181">
        <f t="shared" si="10"/>
        <v>330000</v>
      </c>
      <c r="R180" s="175">
        <f t="shared" si="11"/>
        <v>330000</v>
      </c>
      <c r="S180" s="192"/>
      <c r="U180" s="201"/>
    </row>
    <row r="181" spans="1:21" s="184" customFormat="1" ht="21.75" hidden="1" customHeight="1" x14ac:dyDescent="0.35">
      <c r="A181" s="184">
        <v>10778</v>
      </c>
      <c r="B181" s="196" t="s">
        <v>661</v>
      </c>
      <c r="C181" s="196" t="s">
        <v>662</v>
      </c>
      <c r="D181" s="96">
        <v>1068</v>
      </c>
      <c r="E181" s="179">
        <v>306</v>
      </c>
      <c r="F181" s="179">
        <v>71</v>
      </c>
      <c r="G181" s="179">
        <v>7</v>
      </c>
      <c r="H181" s="179">
        <v>9</v>
      </c>
      <c r="I181" s="179">
        <v>3</v>
      </c>
      <c r="J181" s="180">
        <f t="shared" si="8"/>
        <v>1464</v>
      </c>
      <c r="K181" s="190" t="str">
        <f t="shared" si="9"/>
        <v>SS</v>
      </c>
      <c r="L181" s="190"/>
      <c r="M181" s="190"/>
      <c r="N181" s="191"/>
      <c r="O181" s="191"/>
      <c r="P181" s="191"/>
      <c r="Q181" s="181">
        <f t="shared" si="10"/>
        <v>240000</v>
      </c>
      <c r="R181" s="175">
        <f t="shared" si="11"/>
        <v>240000</v>
      </c>
      <c r="S181" s="192"/>
      <c r="U181" s="201"/>
    </row>
    <row r="182" spans="1:21" s="184" customFormat="1" ht="21.75" hidden="1" customHeight="1" x14ac:dyDescent="0.35">
      <c r="A182" s="184">
        <v>10779</v>
      </c>
      <c r="B182" s="196" t="s">
        <v>665</v>
      </c>
      <c r="C182" s="196" t="s">
        <v>666</v>
      </c>
      <c r="D182" s="131">
        <v>4695</v>
      </c>
      <c r="E182" s="179">
        <v>1671</v>
      </c>
      <c r="F182" s="179">
        <v>501</v>
      </c>
      <c r="G182" s="179">
        <v>60</v>
      </c>
      <c r="H182" s="179">
        <v>70</v>
      </c>
      <c r="I182" s="179">
        <v>10</v>
      </c>
      <c r="J182" s="180">
        <f t="shared" si="8"/>
        <v>7007</v>
      </c>
      <c r="K182" s="190" t="str">
        <f t="shared" si="9"/>
        <v>M</v>
      </c>
      <c r="L182" s="190"/>
      <c r="M182" s="190"/>
      <c r="N182" s="191"/>
      <c r="O182" s="191"/>
      <c r="P182" s="191"/>
      <c r="Q182" s="181">
        <f t="shared" si="10"/>
        <v>330000</v>
      </c>
      <c r="R182" s="175">
        <f t="shared" si="11"/>
        <v>330000</v>
      </c>
      <c r="S182" s="192"/>
      <c r="U182" s="201"/>
    </row>
    <row r="183" spans="1:21" s="184" customFormat="1" ht="21.75" hidden="1" customHeight="1" x14ac:dyDescent="0.35">
      <c r="A183" s="184">
        <v>10779</v>
      </c>
      <c r="B183" s="198" t="s">
        <v>667</v>
      </c>
      <c r="C183" s="198" t="s">
        <v>668</v>
      </c>
      <c r="D183" s="132">
        <v>3742</v>
      </c>
      <c r="E183" s="179">
        <v>1779</v>
      </c>
      <c r="F183" s="179">
        <v>487</v>
      </c>
      <c r="G183" s="179">
        <v>63</v>
      </c>
      <c r="H183" s="179">
        <v>96</v>
      </c>
      <c r="I183" s="179">
        <v>4</v>
      </c>
      <c r="J183" s="180">
        <f t="shared" si="8"/>
        <v>6171</v>
      </c>
      <c r="K183" s="190" t="str">
        <f t="shared" si="9"/>
        <v>M</v>
      </c>
      <c r="L183" s="190"/>
      <c r="M183" s="190"/>
      <c r="N183" s="191"/>
      <c r="O183" s="191"/>
      <c r="P183" s="191"/>
      <c r="Q183" s="181">
        <f t="shared" si="10"/>
        <v>330000</v>
      </c>
      <c r="R183" s="175">
        <f t="shared" si="11"/>
        <v>330000</v>
      </c>
      <c r="S183" s="192"/>
      <c r="U183" s="201"/>
    </row>
    <row r="184" spans="1:21" s="184" customFormat="1" ht="21.75" hidden="1" customHeight="1" x14ac:dyDescent="0.35">
      <c r="A184" s="184">
        <v>10779</v>
      </c>
      <c r="B184" s="196" t="s">
        <v>653</v>
      </c>
      <c r="C184" s="196" t="s">
        <v>654</v>
      </c>
      <c r="D184" s="131">
        <v>1912</v>
      </c>
      <c r="E184" s="179">
        <v>668</v>
      </c>
      <c r="F184" s="179">
        <v>86</v>
      </c>
      <c r="G184" s="179">
        <v>12</v>
      </c>
      <c r="H184" s="179">
        <v>17</v>
      </c>
      <c r="I184" s="179">
        <v>4</v>
      </c>
      <c r="J184" s="180">
        <f t="shared" si="8"/>
        <v>2699</v>
      </c>
      <c r="K184" s="190" t="str">
        <f t="shared" si="9"/>
        <v>S</v>
      </c>
      <c r="L184" s="190"/>
      <c r="M184" s="190"/>
      <c r="N184" s="191"/>
      <c r="O184" s="191"/>
      <c r="P184" s="191"/>
      <c r="Q184" s="181">
        <f t="shared" si="10"/>
        <v>300000</v>
      </c>
      <c r="R184" s="175">
        <f t="shared" si="11"/>
        <v>300000</v>
      </c>
      <c r="S184" s="192"/>
      <c r="U184" s="201"/>
    </row>
    <row r="185" spans="1:21" s="184" customFormat="1" ht="21.75" hidden="1" customHeight="1" x14ac:dyDescent="0.35">
      <c r="A185" s="184">
        <v>10779</v>
      </c>
      <c r="B185" s="198" t="s">
        <v>669</v>
      </c>
      <c r="C185" s="198" t="s">
        <v>670</v>
      </c>
      <c r="D185" s="132">
        <v>2694</v>
      </c>
      <c r="E185" s="179">
        <v>1201</v>
      </c>
      <c r="F185" s="179">
        <v>186</v>
      </c>
      <c r="G185" s="179">
        <v>38</v>
      </c>
      <c r="H185" s="179">
        <v>43</v>
      </c>
      <c r="I185" s="179">
        <v>8</v>
      </c>
      <c r="J185" s="180">
        <f t="shared" si="8"/>
        <v>4170</v>
      </c>
      <c r="K185" s="190" t="str">
        <f t="shared" si="9"/>
        <v>M</v>
      </c>
      <c r="L185" s="190"/>
      <c r="M185" s="190"/>
      <c r="N185" s="191"/>
      <c r="O185" s="191"/>
      <c r="P185" s="191"/>
      <c r="Q185" s="181">
        <f t="shared" si="10"/>
        <v>330000</v>
      </c>
      <c r="R185" s="175">
        <f t="shared" si="11"/>
        <v>330000</v>
      </c>
      <c r="S185" s="192"/>
      <c r="U185" s="201"/>
    </row>
    <row r="186" spans="1:21" s="184" customFormat="1" ht="21.75" hidden="1" customHeight="1" x14ac:dyDescent="0.35">
      <c r="A186" s="184">
        <v>10779</v>
      </c>
      <c r="B186" s="196" t="s">
        <v>671</v>
      </c>
      <c r="C186" s="196" t="s">
        <v>672</v>
      </c>
      <c r="D186" s="131">
        <v>2395</v>
      </c>
      <c r="E186" s="179">
        <v>1150</v>
      </c>
      <c r="F186" s="179">
        <v>110</v>
      </c>
      <c r="G186" s="179">
        <v>16</v>
      </c>
      <c r="H186" s="179">
        <v>24</v>
      </c>
      <c r="I186" s="179">
        <v>12</v>
      </c>
      <c r="J186" s="180">
        <f t="shared" si="8"/>
        <v>3707</v>
      </c>
      <c r="K186" s="190" t="str">
        <f t="shared" si="9"/>
        <v>M</v>
      </c>
      <c r="L186" s="190"/>
      <c r="M186" s="190"/>
      <c r="N186" s="191"/>
      <c r="O186" s="191"/>
      <c r="P186" s="191"/>
      <c r="Q186" s="181">
        <f t="shared" si="10"/>
        <v>330000</v>
      </c>
      <c r="R186" s="175">
        <f t="shared" si="11"/>
        <v>330000</v>
      </c>
      <c r="S186" s="192"/>
      <c r="U186" s="201"/>
    </row>
    <row r="187" spans="1:21" s="184" customFormat="1" ht="21.75" hidden="1" customHeight="1" x14ac:dyDescent="0.35">
      <c r="A187" s="184">
        <v>10779</v>
      </c>
      <c r="B187" s="198" t="s">
        <v>619</v>
      </c>
      <c r="C187" s="198" t="s">
        <v>620</v>
      </c>
      <c r="D187" s="132">
        <v>2001</v>
      </c>
      <c r="E187" s="179">
        <v>726</v>
      </c>
      <c r="F187" s="179">
        <v>104</v>
      </c>
      <c r="G187" s="179">
        <v>27</v>
      </c>
      <c r="H187" s="179">
        <v>12</v>
      </c>
      <c r="I187" s="179">
        <v>4</v>
      </c>
      <c r="J187" s="180">
        <f t="shared" si="8"/>
        <v>2874</v>
      </c>
      <c r="K187" s="190" t="str">
        <f t="shared" si="9"/>
        <v>S</v>
      </c>
      <c r="L187" s="190"/>
      <c r="M187" s="190"/>
      <c r="N187" s="191"/>
      <c r="O187" s="191"/>
      <c r="P187" s="191"/>
      <c r="Q187" s="181">
        <f t="shared" si="10"/>
        <v>300000</v>
      </c>
      <c r="R187" s="175">
        <f t="shared" si="11"/>
        <v>300000</v>
      </c>
      <c r="S187" s="192"/>
      <c r="U187" s="201"/>
    </row>
    <row r="188" spans="1:21" s="184" customFormat="1" ht="21.75" hidden="1" customHeight="1" x14ac:dyDescent="0.35">
      <c r="A188" s="184">
        <v>10779</v>
      </c>
      <c r="B188" s="198" t="s">
        <v>621</v>
      </c>
      <c r="C188" s="198" t="s">
        <v>622</v>
      </c>
      <c r="D188" s="132">
        <v>1986</v>
      </c>
      <c r="E188" s="179">
        <v>855</v>
      </c>
      <c r="F188" s="179">
        <v>109</v>
      </c>
      <c r="G188" s="179">
        <v>12</v>
      </c>
      <c r="H188" s="179">
        <v>18</v>
      </c>
      <c r="I188" s="179">
        <v>5</v>
      </c>
      <c r="J188" s="180">
        <f t="shared" si="8"/>
        <v>2985</v>
      </c>
      <c r="K188" s="190" t="str">
        <f t="shared" si="9"/>
        <v>S</v>
      </c>
      <c r="L188" s="190"/>
      <c r="M188" s="190"/>
      <c r="N188" s="191"/>
      <c r="O188" s="191"/>
      <c r="P188" s="191"/>
      <c r="Q188" s="181">
        <f t="shared" si="10"/>
        <v>300000</v>
      </c>
      <c r="R188" s="175">
        <f t="shared" si="11"/>
        <v>300000</v>
      </c>
      <c r="S188" s="192"/>
      <c r="U188" s="201"/>
    </row>
    <row r="189" spans="1:21" s="184" customFormat="1" ht="21.75" hidden="1" customHeight="1" x14ac:dyDescent="0.35">
      <c r="A189" s="184">
        <v>10779</v>
      </c>
      <c r="B189" s="196" t="s">
        <v>655</v>
      </c>
      <c r="C189" s="196" t="s">
        <v>656</v>
      </c>
      <c r="D189" s="131">
        <v>1654</v>
      </c>
      <c r="E189" s="179">
        <v>738</v>
      </c>
      <c r="F189" s="179">
        <v>147</v>
      </c>
      <c r="G189" s="179">
        <v>22</v>
      </c>
      <c r="H189" s="179">
        <v>19</v>
      </c>
      <c r="I189" s="179">
        <v>4</v>
      </c>
      <c r="J189" s="180">
        <f t="shared" si="8"/>
        <v>2584</v>
      </c>
      <c r="K189" s="190" t="str">
        <f t="shared" si="9"/>
        <v>S</v>
      </c>
      <c r="L189" s="190"/>
      <c r="M189" s="190"/>
      <c r="N189" s="191"/>
      <c r="O189" s="191"/>
      <c r="P189" s="191"/>
      <c r="Q189" s="181">
        <f t="shared" si="10"/>
        <v>300000</v>
      </c>
      <c r="R189" s="175">
        <f t="shared" si="11"/>
        <v>300000</v>
      </c>
      <c r="S189" s="192"/>
      <c r="U189" s="201"/>
    </row>
    <row r="190" spans="1:21" s="184" customFormat="1" ht="21.75" hidden="1" customHeight="1" x14ac:dyDescent="0.35">
      <c r="A190" s="184">
        <v>10779</v>
      </c>
      <c r="B190" s="198" t="s">
        <v>623</v>
      </c>
      <c r="C190" s="198" t="s">
        <v>624</v>
      </c>
      <c r="D190" s="132">
        <v>2202</v>
      </c>
      <c r="E190" s="179">
        <v>1115</v>
      </c>
      <c r="F190" s="179">
        <v>145</v>
      </c>
      <c r="G190" s="179">
        <v>32</v>
      </c>
      <c r="H190" s="179">
        <v>32</v>
      </c>
      <c r="I190" s="179">
        <v>1</v>
      </c>
      <c r="J190" s="180">
        <f t="shared" si="8"/>
        <v>3527</v>
      </c>
      <c r="K190" s="190" t="str">
        <f t="shared" si="9"/>
        <v>M</v>
      </c>
      <c r="L190" s="190"/>
      <c r="M190" s="190"/>
      <c r="N190" s="191"/>
      <c r="O190" s="191"/>
      <c r="P190" s="191"/>
      <c r="Q190" s="181">
        <f t="shared" si="10"/>
        <v>330000</v>
      </c>
      <c r="R190" s="175">
        <f t="shared" si="11"/>
        <v>330000</v>
      </c>
      <c r="S190" s="192"/>
      <c r="U190" s="201"/>
    </row>
    <row r="191" spans="1:21" s="184" customFormat="1" ht="21.75" hidden="1" customHeight="1" x14ac:dyDescent="0.35">
      <c r="A191" s="184">
        <v>10779</v>
      </c>
      <c r="B191" s="196" t="s">
        <v>673</v>
      </c>
      <c r="C191" s="196" t="s">
        <v>674</v>
      </c>
      <c r="D191" s="131">
        <v>3020</v>
      </c>
      <c r="E191" s="179">
        <v>1302</v>
      </c>
      <c r="F191" s="179">
        <v>692</v>
      </c>
      <c r="G191" s="179">
        <v>64</v>
      </c>
      <c r="H191" s="179">
        <v>82</v>
      </c>
      <c r="I191" s="179">
        <v>8</v>
      </c>
      <c r="J191" s="180">
        <f t="shared" si="8"/>
        <v>5168</v>
      </c>
      <c r="K191" s="190" t="str">
        <f t="shared" si="9"/>
        <v>M</v>
      </c>
      <c r="L191" s="190"/>
      <c r="M191" s="190"/>
      <c r="N191" s="191"/>
      <c r="O191" s="191"/>
      <c r="P191" s="191"/>
      <c r="Q191" s="181">
        <f t="shared" si="10"/>
        <v>330000</v>
      </c>
      <c r="R191" s="175">
        <f t="shared" si="11"/>
        <v>330000</v>
      </c>
      <c r="S191" s="192"/>
      <c r="U191" s="201"/>
    </row>
    <row r="192" spans="1:21" s="184" customFormat="1" ht="21.75" hidden="1" customHeight="1" x14ac:dyDescent="0.35">
      <c r="A192" s="184">
        <v>10779</v>
      </c>
      <c r="B192" s="198" t="s">
        <v>483</v>
      </c>
      <c r="C192" s="198" t="s">
        <v>484</v>
      </c>
      <c r="D192" s="132">
        <v>1402</v>
      </c>
      <c r="E192" s="179">
        <v>610</v>
      </c>
      <c r="F192" s="179">
        <v>208</v>
      </c>
      <c r="G192" s="179">
        <v>25</v>
      </c>
      <c r="H192" s="179">
        <v>26</v>
      </c>
      <c r="I192" s="179">
        <v>4</v>
      </c>
      <c r="J192" s="180">
        <f t="shared" si="8"/>
        <v>2275</v>
      </c>
      <c r="K192" s="190" t="str">
        <f t="shared" si="9"/>
        <v>S</v>
      </c>
      <c r="L192" s="190"/>
      <c r="M192" s="190"/>
      <c r="N192" s="191"/>
      <c r="O192" s="191"/>
      <c r="P192" s="191"/>
      <c r="Q192" s="181">
        <f t="shared" si="10"/>
        <v>300000</v>
      </c>
      <c r="R192" s="175">
        <f t="shared" si="11"/>
        <v>300000</v>
      </c>
      <c r="S192" s="192"/>
      <c r="U192" s="201"/>
    </row>
    <row r="193" spans="1:21" s="184" customFormat="1" ht="21.75" hidden="1" customHeight="1" x14ac:dyDescent="0.35">
      <c r="A193" s="184">
        <v>10779</v>
      </c>
      <c r="B193" s="198" t="s">
        <v>485</v>
      </c>
      <c r="C193" s="198" t="s">
        <v>486</v>
      </c>
      <c r="D193" s="131">
        <v>1254</v>
      </c>
      <c r="E193" s="179">
        <v>584</v>
      </c>
      <c r="F193" s="179">
        <v>177</v>
      </c>
      <c r="G193" s="179">
        <v>12</v>
      </c>
      <c r="H193" s="179">
        <v>20</v>
      </c>
      <c r="I193" s="179">
        <v>6</v>
      </c>
      <c r="J193" s="180">
        <f t="shared" si="8"/>
        <v>2053</v>
      </c>
      <c r="K193" s="190" t="str">
        <f t="shared" si="9"/>
        <v>S</v>
      </c>
      <c r="L193" s="190"/>
      <c r="M193" s="190"/>
      <c r="N193" s="191"/>
      <c r="O193" s="191"/>
      <c r="P193" s="191"/>
      <c r="Q193" s="181">
        <f t="shared" si="10"/>
        <v>300000</v>
      </c>
      <c r="R193" s="175">
        <f t="shared" si="11"/>
        <v>300000</v>
      </c>
      <c r="S193" s="192"/>
      <c r="U193" s="201"/>
    </row>
    <row r="194" spans="1:21" s="184" customFormat="1" ht="21.75" hidden="1" customHeight="1" x14ac:dyDescent="0.35">
      <c r="A194" s="184">
        <v>10780</v>
      </c>
      <c r="B194" s="198" t="s">
        <v>677</v>
      </c>
      <c r="C194" s="198" t="s">
        <v>678</v>
      </c>
      <c r="D194" s="132">
        <v>761</v>
      </c>
      <c r="E194" s="179">
        <v>458</v>
      </c>
      <c r="F194" s="179">
        <v>260</v>
      </c>
      <c r="G194" s="179">
        <v>46</v>
      </c>
      <c r="H194" s="179">
        <v>40</v>
      </c>
      <c r="I194" s="179">
        <v>3</v>
      </c>
      <c r="J194" s="180">
        <f t="shared" si="8"/>
        <v>1568</v>
      </c>
      <c r="K194" s="190" t="str">
        <f t="shared" si="9"/>
        <v>SS</v>
      </c>
      <c r="L194" s="190"/>
      <c r="M194" s="190"/>
      <c r="N194" s="191"/>
      <c r="O194" s="191"/>
      <c r="P194" s="191"/>
      <c r="Q194" s="181">
        <f t="shared" si="10"/>
        <v>240000</v>
      </c>
      <c r="R194" s="175">
        <f t="shared" si="11"/>
        <v>240000</v>
      </c>
      <c r="S194" s="192"/>
    </row>
    <row r="195" spans="1:21" s="184" customFormat="1" ht="21.75" hidden="1" customHeight="1" x14ac:dyDescent="0.35">
      <c r="A195" s="184">
        <v>10780</v>
      </c>
      <c r="B195" s="196" t="s">
        <v>679</v>
      </c>
      <c r="C195" s="196" t="s">
        <v>680</v>
      </c>
      <c r="D195" s="131">
        <v>480</v>
      </c>
      <c r="E195" s="179">
        <v>34</v>
      </c>
      <c r="F195" s="179">
        <v>23</v>
      </c>
      <c r="G195" s="179">
        <v>1</v>
      </c>
      <c r="H195" s="179">
        <v>1</v>
      </c>
      <c r="I195" s="179">
        <v>0</v>
      </c>
      <c r="J195" s="180">
        <f t="shared" si="8"/>
        <v>539</v>
      </c>
      <c r="K195" s="190" t="str">
        <f t="shared" si="9"/>
        <v>SSS</v>
      </c>
      <c r="L195" s="190"/>
      <c r="M195" s="190"/>
      <c r="N195" s="191"/>
      <c r="O195" s="191"/>
      <c r="P195" s="191"/>
      <c r="Q195" s="181">
        <f t="shared" si="10"/>
        <v>192000</v>
      </c>
      <c r="R195" s="175">
        <f t="shared" si="11"/>
        <v>192000</v>
      </c>
      <c r="S195" s="192"/>
    </row>
    <row r="196" spans="1:21" s="184" customFormat="1" ht="21.75" hidden="1" customHeight="1" x14ac:dyDescent="0.35">
      <c r="A196" s="184">
        <v>10780</v>
      </c>
      <c r="B196" s="196" t="s">
        <v>681</v>
      </c>
      <c r="C196" s="196" t="s">
        <v>682</v>
      </c>
      <c r="D196" s="131">
        <v>260</v>
      </c>
      <c r="E196" s="179">
        <v>346</v>
      </c>
      <c r="F196" s="179">
        <v>79</v>
      </c>
      <c r="G196" s="179">
        <v>16</v>
      </c>
      <c r="H196" s="179">
        <v>7</v>
      </c>
      <c r="I196" s="179">
        <v>0</v>
      </c>
      <c r="J196" s="180">
        <f t="shared" si="8"/>
        <v>708</v>
      </c>
      <c r="K196" s="190" t="str">
        <f t="shared" si="9"/>
        <v>SSS</v>
      </c>
      <c r="L196" s="190"/>
      <c r="M196" s="190"/>
      <c r="N196" s="191"/>
      <c r="O196" s="191"/>
      <c r="P196" s="191"/>
      <c r="Q196" s="181">
        <f t="shared" si="10"/>
        <v>192000</v>
      </c>
      <c r="R196" s="175">
        <f t="shared" si="11"/>
        <v>192000</v>
      </c>
      <c r="S196" s="192"/>
    </row>
    <row r="197" spans="1:21" s="184" customFormat="1" ht="21.75" hidden="1" customHeight="1" x14ac:dyDescent="0.35">
      <c r="A197" s="184">
        <v>10780</v>
      </c>
      <c r="B197" s="196" t="s">
        <v>683</v>
      </c>
      <c r="C197" s="196" t="s">
        <v>377</v>
      </c>
      <c r="D197" s="131">
        <v>760</v>
      </c>
      <c r="E197" s="179">
        <v>313</v>
      </c>
      <c r="F197" s="179">
        <v>107</v>
      </c>
      <c r="G197" s="179">
        <v>18</v>
      </c>
      <c r="H197" s="179">
        <v>11</v>
      </c>
      <c r="I197" s="179">
        <v>0</v>
      </c>
      <c r="J197" s="180">
        <f t="shared" ref="J197:J209" si="12">SUM(D197:I197)</f>
        <v>1209</v>
      </c>
      <c r="K197" s="190" t="str">
        <f t="shared" ref="K197:K209" si="13">VLOOKUP(J197,$P$212:$Q$217,2)</f>
        <v>SS</v>
      </c>
      <c r="L197" s="190"/>
      <c r="M197" s="190"/>
      <c r="N197" s="191"/>
      <c r="O197" s="191"/>
      <c r="P197" s="191"/>
      <c r="Q197" s="181">
        <f t="shared" ref="Q197:Q209" si="14">VLOOKUP(J197,$P$219:$Q$224,2)</f>
        <v>240000</v>
      </c>
      <c r="R197" s="175">
        <f t="shared" si="11"/>
        <v>240000</v>
      </c>
      <c r="S197" s="192"/>
    </row>
    <row r="198" spans="1:21" s="184" customFormat="1" ht="21.75" hidden="1" customHeight="1" x14ac:dyDescent="0.35">
      <c r="A198" s="184">
        <v>10780</v>
      </c>
      <c r="B198" s="198" t="s">
        <v>684</v>
      </c>
      <c r="C198" s="198" t="s">
        <v>685</v>
      </c>
      <c r="D198" s="132">
        <v>1092</v>
      </c>
      <c r="E198" s="179">
        <v>478</v>
      </c>
      <c r="F198" s="179">
        <v>177</v>
      </c>
      <c r="G198" s="179">
        <v>30</v>
      </c>
      <c r="H198" s="179">
        <v>27</v>
      </c>
      <c r="I198" s="179">
        <v>3</v>
      </c>
      <c r="J198" s="180">
        <f t="shared" si="12"/>
        <v>1807</v>
      </c>
      <c r="K198" s="190" t="str">
        <f t="shared" si="13"/>
        <v>SS</v>
      </c>
      <c r="L198" s="190"/>
      <c r="M198" s="190"/>
      <c r="N198" s="191"/>
      <c r="O198" s="191"/>
      <c r="P198" s="191"/>
      <c r="Q198" s="181">
        <f t="shared" si="14"/>
        <v>240000</v>
      </c>
      <c r="R198" s="175">
        <f t="shared" si="11"/>
        <v>240000</v>
      </c>
      <c r="S198" s="192"/>
    </row>
    <row r="199" spans="1:21" s="184" customFormat="1" ht="21.75" hidden="1" customHeight="1" x14ac:dyDescent="0.35">
      <c r="A199" s="184">
        <v>10780</v>
      </c>
      <c r="B199" s="196" t="s">
        <v>686</v>
      </c>
      <c r="C199" s="196" t="s">
        <v>687</v>
      </c>
      <c r="D199" s="131">
        <v>962</v>
      </c>
      <c r="E199" s="179">
        <v>386</v>
      </c>
      <c r="F199" s="179">
        <v>207</v>
      </c>
      <c r="G199" s="179">
        <v>24</v>
      </c>
      <c r="H199" s="179">
        <v>19</v>
      </c>
      <c r="I199" s="179">
        <v>1</v>
      </c>
      <c r="J199" s="180">
        <f t="shared" si="12"/>
        <v>1599</v>
      </c>
      <c r="K199" s="190" t="str">
        <f t="shared" si="13"/>
        <v>SS</v>
      </c>
      <c r="L199" s="190"/>
      <c r="M199" s="190"/>
      <c r="N199" s="191"/>
      <c r="O199" s="191"/>
      <c r="P199" s="191"/>
      <c r="Q199" s="181">
        <f t="shared" si="14"/>
        <v>240000</v>
      </c>
      <c r="R199" s="175">
        <f t="shared" ref="R199:R209" si="15">VLOOKUP(J199,$P$219:$Q$224,2)</f>
        <v>240000</v>
      </c>
      <c r="S199" s="192"/>
    </row>
    <row r="200" spans="1:21" s="184" customFormat="1" ht="21.75" hidden="1" customHeight="1" x14ac:dyDescent="0.35">
      <c r="A200" s="184">
        <v>10780</v>
      </c>
      <c r="B200" s="198" t="s">
        <v>688</v>
      </c>
      <c r="C200" s="198" t="s">
        <v>689</v>
      </c>
      <c r="D200" s="132">
        <v>840</v>
      </c>
      <c r="E200" s="179">
        <v>348</v>
      </c>
      <c r="F200" s="179">
        <v>157</v>
      </c>
      <c r="G200" s="179">
        <v>12</v>
      </c>
      <c r="H200" s="179">
        <v>18</v>
      </c>
      <c r="I200" s="179">
        <v>2</v>
      </c>
      <c r="J200" s="180">
        <f t="shared" si="12"/>
        <v>1377</v>
      </c>
      <c r="K200" s="190" t="str">
        <f t="shared" si="13"/>
        <v>SS</v>
      </c>
      <c r="L200" s="190"/>
      <c r="M200" s="190"/>
      <c r="N200" s="191"/>
      <c r="O200" s="191"/>
      <c r="P200" s="191"/>
      <c r="Q200" s="181">
        <f t="shared" si="14"/>
        <v>240000</v>
      </c>
      <c r="R200" s="175">
        <f t="shared" si="15"/>
        <v>240000</v>
      </c>
      <c r="S200" s="192"/>
    </row>
    <row r="201" spans="1:21" s="184" customFormat="1" ht="21.75" hidden="1" customHeight="1" x14ac:dyDescent="0.35">
      <c r="A201" s="184">
        <v>10780</v>
      </c>
      <c r="B201" s="196" t="s">
        <v>690</v>
      </c>
      <c r="C201" s="196" t="s">
        <v>691</v>
      </c>
      <c r="D201" s="131">
        <v>894</v>
      </c>
      <c r="E201" s="179">
        <v>428</v>
      </c>
      <c r="F201" s="179">
        <v>210</v>
      </c>
      <c r="G201" s="179">
        <v>37</v>
      </c>
      <c r="H201" s="179">
        <v>26</v>
      </c>
      <c r="I201" s="179">
        <v>1</v>
      </c>
      <c r="J201" s="180">
        <f t="shared" si="12"/>
        <v>1596</v>
      </c>
      <c r="K201" s="190" t="str">
        <f t="shared" si="13"/>
        <v>SS</v>
      </c>
      <c r="L201" s="190"/>
      <c r="M201" s="190"/>
      <c r="N201" s="191"/>
      <c r="O201" s="191"/>
      <c r="P201" s="191"/>
      <c r="Q201" s="181">
        <f t="shared" si="14"/>
        <v>240000</v>
      </c>
      <c r="R201" s="175">
        <f t="shared" si="15"/>
        <v>240000</v>
      </c>
      <c r="S201" s="192"/>
    </row>
    <row r="202" spans="1:21" s="184" customFormat="1" ht="21.75" hidden="1" customHeight="1" x14ac:dyDescent="0.35">
      <c r="A202" s="184">
        <v>10780</v>
      </c>
      <c r="B202" s="198" t="s">
        <v>692</v>
      </c>
      <c r="C202" s="198" t="s">
        <v>693</v>
      </c>
      <c r="D202" s="132">
        <v>2246</v>
      </c>
      <c r="E202" s="179">
        <v>837</v>
      </c>
      <c r="F202" s="179">
        <v>277</v>
      </c>
      <c r="G202" s="179">
        <v>33</v>
      </c>
      <c r="H202" s="179">
        <v>42</v>
      </c>
      <c r="I202" s="179">
        <v>6</v>
      </c>
      <c r="J202" s="180">
        <f t="shared" si="12"/>
        <v>3441</v>
      </c>
      <c r="K202" s="190" t="str">
        <f t="shared" si="13"/>
        <v>M</v>
      </c>
      <c r="L202" s="190"/>
      <c r="M202" s="190"/>
      <c r="N202" s="191"/>
      <c r="O202" s="191"/>
      <c r="P202" s="191"/>
      <c r="Q202" s="181">
        <f t="shared" si="14"/>
        <v>330000</v>
      </c>
      <c r="R202" s="175">
        <f t="shared" si="15"/>
        <v>330000</v>
      </c>
      <c r="S202" s="192"/>
    </row>
    <row r="203" spans="1:21" s="184" customFormat="1" ht="21.75" hidden="1" customHeight="1" x14ac:dyDescent="0.35">
      <c r="A203" s="184">
        <v>10780</v>
      </c>
      <c r="B203" s="196" t="s">
        <v>694</v>
      </c>
      <c r="C203" s="196" t="s">
        <v>695</v>
      </c>
      <c r="D203" s="131">
        <v>1153</v>
      </c>
      <c r="E203" s="179">
        <v>475</v>
      </c>
      <c r="F203" s="179">
        <v>227</v>
      </c>
      <c r="G203" s="179">
        <v>30</v>
      </c>
      <c r="H203" s="179">
        <v>28</v>
      </c>
      <c r="I203" s="179">
        <v>5</v>
      </c>
      <c r="J203" s="180">
        <f t="shared" si="12"/>
        <v>1918</v>
      </c>
      <c r="K203" s="190" t="str">
        <f t="shared" si="13"/>
        <v>SS</v>
      </c>
      <c r="L203" s="190"/>
      <c r="M203" s="190"/>
      <c r="N203" s="191"/>
      <c r="O203" s="191"/>
      <c r="P203" s="191"/>
      <c r="Q203" s="181">
        <f>VLOOKUP(J203,$P$219:$Q$224,2)</f>
        <v>240000</v>
      </c>
      <c r="R203" s="175">
        <f t="shared" si="15"/>
        <v>240000</v>
      </c>
      <c r="S203" s="192"/>
    </row>
    <row r="204" spans="1:21" s="184" customFormat="1" ht="21.75" hidden="1" customHeight="1" x14ac:dyDescent="0.35">
      <c r="A204" s="184">
        <v>10780</v>
      </c>
      <c r="B204" s="198" t="s">
        <v>696</v>
      </c>
      <c r="C204" s="198" t="s">
        <v>697</v>
      </c>
      <c r="D204" s="132">
        <v>1337</v>
      </c>
      <c r="E204" s="179">
        <v>490</v>
      </c>
      <c r="F204" s="179">
        <v>174</v>
      </c>
      <c r="G204" s="179">
        <v>34</v>
      </c>
      <c r="H204" s="179">
        <v>35</v>
      </c>
      <c r="I204" s="179">
        <v>3</v>
      </c>
      <c r="J204" s="180">
        <f t="shared" si="12"/>
        <v>2073</v>
      </c>
      <c r="K204" s="190" t="str">
        <f t="shared" si="13"/>
        <v>S</v>
      </c>
      <c r="L204" s="190"/>
      <c r="M204" s="190"/>
      <c r="N204" s="191"/>
      <c r="O204" s="191"/>
      <c r="P204" s="191"/>
      <c r="Q204" s="181">
        <f t="shared" si="14"/>
        <v>300000</v>
      </c>
      <c r="R204" s="175">
        <f t="shared" si="15"/>
        <v>300000</v>
      </c>
      <c r="S204" s="192"/>
    </row>
    <row r="205" spans="1:21" s="184" customFormat="1" ht="21.75" hidden="1" customHeight="1" x14ac:dyDescent="0.35">
      <c r="A205" s="184">
        <v>10780</v>
      </c>
      <c r="B205" s="196" t="s">
        <v>698</v>
      </c>
      <c r="C205" s="196" t="s">
        <v>281</v>
      </c>
      <c r="D205" s="131">
        <v>1233</v>
      </c>
      <c r="E205" s="179">
        <v>569</v>
      </c>
      <c r="F205" s="179">
        <v>159</v>
      </c>
      <c r="G205" s="179">
        <v>27</v>
      </c>
      <c r="H205" s="179">
        <v>30</v>
      </c>
      <c r="I205" s="179">
        <v>2</v>
      </c>
      <c r="J205" s="180">
        <f t="shared" si="12"/>
        <v>2020</v>
      </c>
      <c r="K205" s="190" t="str">
        <f t="shared" si="13"/>
        <v>S</v>
      </c>
      <c r="L205" s="190"/>
      <c r="M205" s="190"/>
      <c r="N205" s="191"/>
      <c r="O205" s="191"/>
      <c r="P205" s="191"/>
      <c r="Q205" s="181">
        <f t="shared" si="14"/>
        <v>300000</v>
      </c>
      <c r="R205" s="175">
        <f t="shared" si="15"/>
        <v>300000</v>
      </c>
      <c r="S205" s="192"/>
    </row>
    <row r="206" spans="1:21" s="184" customFormat="1" ht="21.75" hidden="1" customHeight="1" x14ac:dyDescent="0.35">
      <c r="A206" s="184">
        <v>10781</v>
      </c>
      <c r="B206" s="196" t="s">
        <v>701</v>
      </c>
      <c r="C206" s="196" t="s">
        <v>702</v>
      </c>
      <c r="D206" s="131">
        <v>1159</v>
      </c>
      <c r="E206" s="179">
        <v>416</v>
      </c>
      <c r="F206" s="179">
        <v>316</v>
      </c>
      <c r="G206" s="179">
        <v>65</v>
      </c>
      <c r="H206" s="179">
        <v>45</v>
      </c>
      <c r="I206" s="179">
        <v>5</v>
      </c>
      <c r="J206" s="180">
        <f t="shared" si="12"/>
        <v>2006</v>
      </c>
      <c r="K206" s="190" t="str">
        <f t="shared" si="13"/>
        <v>S</v>
      </c>
      <c r="L206" s="190"/>
      <c r="M206" s="190"/>
      <c r="N206" s="191"/>
      <c r="O206" s="191"/>
      <c r="P206" s="191"/>
      <c r="Q206" s="181">
        <f t="shared" si="14"/>
        <v>300000</v>
      </c>
      <c r="R206" s="175">
        <f t="shared" si="15"/>
        <v>300000</v>
      </c>
      <c r="S206" s="192"/>
      <c r="U206" s="201"/>
    </row>
    <row r="207" spans="1:21" s="184" customFormat="1" ht="21.75" hidden="1" customHeight="1" x14ac:dyDescent="0.35">
      <c r="A207" s="184">
        <v>10781</v>
      </c>
      <c r="B207" s="196" t="s">
        <v>703</v>
      </c>
      <c r="C207" s="196" t="s">
        <v>704</v>
      </c>
      <c r="D207" s="131">
        <v>1503</v>
      </c>
      <c r="E207" s="179">
        <v>556</v>
      </c>
      <c r="F207" s="179">
        <v>242</v>
      </c>
      <c r="G207" s="179">
        <v>35</v>
      </c>
      <c r="H207" s="179">
        <v>35</v>
      </c>
      <c r="I207" s="179">
        <v>21</v>
      </c>
      <c r="J207" s="180">
        <f t="shared" si="12"/>
        <v>2392</v>
      </c>
      <c r="K207" s="190" t="str">
        <f t="shared" si="13"/>
        <v>S</v>
      </c>
      <c r="L207" s="190"/>
      <c r="M207" s="190"/>
      <c r="N207" s="191"/>
      <c r="O207" s="191"/>
      <c r="P207" s="191"/>
      <c r="Q207" s="181">
        <f t="shared" si="14"/>
        <v>300000</v>
      </c>
      <c r="R207" s="175">
        <f t="shared" si="15"/>
        <v>300000</v>
      </c>
      <c r="S207" s="192"/>
      <c r="U207" s="201"/>
    </row>
    <row r="208" spans="1:21" s="184" customFormat="1" ht="21.75" hidden="1" customHeight="1" x14ac:dyDescent="0.35">
      <c r="A208" s="184">
        <v>10781</v>
      </c>
      <c r="B208" s="198" t="s">
        <v>705</v>
      </c>
      <c r="C208" s="198" t="s">
        <v>706</v>
      </c>
      <c r="D208" s="132">
        <v>789</v>
      </c>
      <c r="E208" s="179">
        <v>349</v>
      </c>
      <c r="F208" s="179">
        <v>97</v>
      </c>
      <c r="G208" s="179">
        <v>13</v>
      </c>
      <c r="H208" s="179">
        <v>14</v>
      </c>
      <c r="I208" s="179">
        <v>2</v>
      </c>
      <c r="J208" s="180">
        <f t="shared" si="12"/>
        <v>1264</v>
      </c>
      <c r="K208" s="190" t="str">
        <f t="shared" si="13"/>
        <v>SS</v>
      </c>
      <c r="L208" s="190"/>
      <c r="M208" s="190"/>
      <c r="N208" s="191"/>
      <c r="O208" s="191"/>
      <c r="P208" s="191"/>
      <c r="Q208" s="181">
        <f>VLOOKUP(J208,$P$219:$Q$224,2)</f>
        <v>240000</v>
      </c>
      <c r="R208" s="175">
        <f t="shared" si="15"/>
        <v>240000</v>
      </c>
      <c r="S208" s="192"/>
      <c r="U208" s="201"/>
    </row>
    <row r="209" spans="1:21" s="184" customFormat="1" ht="21.75" hidden="1" customHeight="1" x14ac:dyDescent="0.35">
      <c r="A209" s="184">
        <v>10781</v>
      </c>
      <c r="B209" s="196" t="s">
        <v>707</v>
      </c>
      <c r="C209" s="196" t="s">
        <v>708</v>
      </c>
      <c r="D209" s="131">
        <v>853</v>
      </c>
      <c r="E209" s="179">
        <v>396</v>
      </c>
      <c r="F209" s="179">
        <v>96</v>
      </c>
      <c r="G209" s="179">
        <v>5</v>
      </c>
      <c r="H209" s="179">
        <v>14</v>
      </c>
      <c r="I209" s="179">
        <v>3</v>
      </c>
      <c r="J209" s="180">
        <f t="shared" si="12"/>
        <v>1367</v>
      </c>
      <c r="K209" s="190" t="str">
        <f t="shared" si="13"/>
        <v>SS</v>
      </c>
      <c r="L209" s="190"/>
      <c r="M209" s="190"/>
      <c r="N209" s="191"/>
      <c r="O209" s="191"/>
      <c r="P209" s="191"/>
      <c r="Q209" s="181">
        <f t="shared" si="14"/>
        <v>240000</v>
      </c>
      <c r="R209" s="175">
        <f t="shared" si="15"/>
        <v>240000</v>
      </c>
      <c r="S209" s="192"/>
      <c r="U209" s="201"/>
    </row>
    <row r="210" spans="1:21" ht="21" hidden="1" x14ac:dyDescent="0.35">
      <c r="N210" s="210">
        <f>SUM(N5:N209)</f>
        <v>0</v>
      </c>
      <c r="P210" s="210">
        <f>SUM(P5:P209)</f>
        <v>0</v>
      </c>
      <c r="Q210" s="182">
        <f>SUM(N210:P210)</f>
        <v>0</v>
      </c>
      <c r="R210" s="175"/>
    </row>
    <row r="211" spans="1:21" ht="18" hidden="1" customHeight="1" x14ac:dyDescent="0.35">
      <c r="D211" s="219">
        <f>SUM(D5:D210)</f>
        <v>399722</v>
      </c>
      <c r="E211" s="219">
        <f t="shared" ref="E211:I211" si="16">SUM(E5:E210)</f>
        <v>170487</v>
      </c>
      <c r="F211" s="219">
        <f t="shared" si="16"/>
        <v>45109</v>
      </c>
      <c r="G211" s="219">
        <f t="shared" si="16"/>
        <v>5855</v>
      </c>
      <c r="H211" s="219">
        <f t="shared" si="16"/>
        <v>7049.2</v>
      </c>
      <c r="I211" s="219">
        <f t="shared" si="16"/>
        <v>1106</v>
      </c>
      <c r="J211" s="219">
        <f>SUM(J5:J210)</f>
        <v>629328.19999999995</v>
      </c>
      <c r="R211" s="175"/>
    </row>
    <row r="212" spans="1:21" ht="15.75" hidden="1" customHeight="1" x14ac:dyDescent="0.35">
      <c r="P212" s="211" t="s">
        <v>880</v>
      </c>
      <c r="Q212" s="211" t="s">
        <v>881</v>
      </c>
      <c r="R212" s="175"/>
      <c r="S212" s="182">
        <f>+Q221*80/100</f>
        <v>192000</v>
      </c>
    </row>
    <row r="213" spans="1:21" ht="15.75" hidden="1" customHeight="1" x14ac:dyDescent="0.35">
      <c r="P213" s="211">
        <v>0</v>
      </c>
      <c r="Q213" s="211" t="s">
        <v>889</v>
      </c>
      <c r="R213" s="175"/>
    </row>
    <row r="214" spans="1:21" ht="15.75" hidden="1" customHeight="1" x14ac:dyDescent="0.35">
      <c r="P214" s="211">
        <v>1001</v>
      </c>
      <c r="Q214" s="211" t="s">
        <v>890</v>
      </c>
      <c r="R214" s="175"/>
    </row>
    <row r="215" spans="1:21" ht="16.5" hidden="1" customHeight="1" x14ac:dyDescent="0.35">
      <c r="P215" s="212">
        <v>2001</v>
      </c>
      <c r="Q215" s="213" t="s">
        <v>867</v>
      </c>
      <c r="R215" s="175"/>
    </row>
    <row r="216" spans="1:21" ht="15.75" hidden="1" customHeight="1" x14ac:dyDescent="0.35">
      <c r="P216" s="214">
        <v>3001</v>
      </c>
      <c r="Q216" s="213" t="s">
        <v>868</v>
      </c>
      <c r="R216" s="175"/>
    </row>
    <row r="217" spans="1:21" ht="12.75" hidden="1" customHeight="1" x14ac:dyDescent="0.35">
      <c r="P217" s="214">
        <v>8001</v>
      </c>
      <c r="Q217" s="213" t="s">
        <v>869</v>
      </c>
      <c r="R217" s="175"/>
    </row>
    <row r="218" spans="1:21" x14ac:dyDescent="0.2">
      <c r="R218" s="182"/>
    </row>
    <row r="219" spans="1:21" ht="12.75" customHeight="1" x14ac:dyDescent="0.2">
      <c r="P219" s="211" t="s">
        <v>880</v>
      </c>
      <c r="Q219" s="211" t="s">
        <v>882</v>
      </c>
      <c r="R219" s="182"/>
    </row>
    <row r="220" spans="1:21" ht="12.75" customHeight="1" x14ac:dyDescent="0.2">
      <c r="P220" s="211">
        <v>0</v>
      </c>
      <c r="Q220" s="211">
        <v>192000</v>
      </c>
      <c r="R220" s="182"/>
    </row>
    <row r="221" spans="1:21" ht="12.75" customHeight="1" x14ac:dyDescent="0.2">
      <c r="P221" s="211">
        <v>1001</v>
      </c>
      <c r="Q221" s="211">
        <v>240000</v>
      </c>
      <c r="R221" s="182"/>
    </row>
    <row r="222" spans="1:21" ht="15" x14ac:dyDescent="0.2">
      <c r="P222" s="212">
        <v>2001</v>
      </c>
      <c r="Q222" s="215">
        <v>300000</v>
      </c>
      <c r="R222" s="182"/>
    </row>
    <row r="223" spans="1:21" ht="19.5" customHeight="1" x14ac:dyDescent="0.2">
      <c r="P223" s="214">
        <v>3001</v>
      </c>
      <c r="Q223" s="215">
        <v>330000</v>
      </c>
      <c r="R223" s="182"/>
    </row>
    <row r="224" spans="1:21" ht="17.25" customHeight="1" x14ac:dyDescent="0.2">
      <c r="P224" s="214">
        <v>8001</v>
      </c>
      <c r="Q224" s="215">
        <v>360000</v>
      </c>
      <c r="R224" s="182"/>
    </row>
  </sheetData>
  <autoFilter ref="A4:T217">
    <filterColumn colId="0">
      <filters>
        <filter val="10660"/>
      </filters>
    </filterColumn>
  </autoFilter>
  <mergeCells count="13">
    <mergeCell ref="L1:P1"/>
    <mergeCell ref="K2:K3"/>
    <mergeCell ref="Q2:Q3"/>
    <mergeCell ref="R2:R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ageMargins left="0.17" right="0.17" top="0.74803149606299213" bottom="0.74803149606299213" header="0.31496062992125984" footer="0.31496062992125984"/>
  <pageSetup paperSize="9" scale="83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1"/>
  <sheetViews>
    <sheetView workbookViewId="0"/>
  </sheetViews>
  <sheetFormatPr defaultRowHeight="12.75" x14ac:dyDescent="0.2"/>
  <cols>
    <col min="1" max="1" width="15.5703125" customWidth="1"/>
    <col min="2" max="2" width="14.42578125" customWidth="1"/>
    <col min="3" max="3" width="3.5703125" customWidth="1"/>
    <col min="4" max="5" width="3.28515625" customWidth="1"/>
    <col min="6" max="6" width="2.140625" customWidth="1"/>
    <col min="7" max="7" width="12.5703125" bestFit="1" customWidth="1"/>
  </cols>
  <sheetData>
    <row r="3" spans="1:7" x14ac:dyDescent="0.2">
      <c r="A3" s="216" t="s">
        <v>885</v>
      </c>
      <c r="B3" s="216" t="s">
        <v>886</v>
      </c>
    </row>
    <row r="4" spans="1:7" x14ac:dyDescent="0.2">
      <c r="A4" s="216" t="s">
        <v>883</v>
      </c>
      <c r="B4" t="s">
        <v>889</v>
      </c>
      <c r="C4" t="s">
        <v>890</v>
      </c>
      <c r="D4" t="s">
        <v>867</v>
      </c>
      <c r="E4" t="s">
        <v>868</v>
      </c>
      <c r="F4" t="s">
        <v>869</v>
      </c>
      <c r="G4" t="s">
        <v>884</v>
      </c>
    </row>
    <row r="5" spans="1:7" x14ac:dyDescent="0.2">
      <c r="A5" s="217">
        <v>10660</v>
      </c>
      <c r="B5" s="218"/>
      <c r="C5" s="218">
        <v>2</v>
      </c>
      <c r="D5" s="218">
        <v>3</v>
      </c>
      <c r="E5" s="218">
        <v>12</v>
      </c>
      <c r="F5" s="218">
        <v>1</v>
      </c>
      <c r="G5" s="218">
        <v>18</v>
      </c>
    </row>
    <row r="6" spans="1:7" x14ac:dyDescent="0.2">
      <c r="A6" s="217">
        <v>10688</v>
      </c>
      <c r="B6" s="218"/>
      <c r="C6" s="218">
        <v>1</v>
      </c>
      <c r="D6" s="218">
        <v>5</v>
      </c>
      <c r="E6" s="218">
        <v>9</v>
      </c>
      <c r="F6" s="218"/>
      <c r="G6" s="218">
        <v>15</v>
      </c>
    </row>
    <row r="7" spans="1:7" x14ac:dyDescent="0.2">
      <c r="A7" s="217">
        <v>10768</v>
      </c>
      <c r="B7" s="218"/>
      <c r="C7" s="218">
        <v>4</v>
      </c>
      <c r="D7" s="218">
        <v>4</v>
      </c>
      <c r="E7" s="218">
        <v>4</v>
      </c>
      <c r="F7" s="218"/>
      <c r="G7" s="218">
        <v>12</v>
      </c>
    </row>
    <row r="8" spans="1:7" x14ac:dyDescent="0.2">
      <c r="A8" s="217">
        <v>10769</v>
      </c>
      <c r="B8" s="218"/>
      <c r="C8" s="218">
        <v>3</v>
      </c>
      <c r="D8" s="218">
        <v>4</v>
      </c>
      <c r="E8" s="218">
        <v>5</v>
      </c>
      <c r="F8" s="218"/>
      <c r="G8" s="218">
        <v>12</v>
      </c>
    </row>
    <row r="9" spans="1:7" x14ac:dyDescent="0.2">
      <c r="A9" s="217">
        <v>10770</v>
      </c>
      <c r="B9" s="218">
        <v>3</v>
      </c>
      <c r="C9" s="218">
        <v>11</v>
      </c>
      <c r="D9" s="218">
        <v>7</v>
      </c>
      <c r="E9" s="218">
        <v>2</v>
      </c>
      <c r="F9" s="218"/>
      <c r="G9" s="218">
        <v>23</v>
      </c>
    </row>
    <row r="10" spans="1:7" x14ac:dyDescent="0.2">
      <c r="A10" s="217">
        <v>10771</v>
      </c>
      <c r="B10" s="218">
        <v>4</v>
      </c>
      <c r="C10" s="218">
        <v>5</v>
      </c>
      <c r="D10" s="218">
        <v>3</v>
      </c>
      <c r="E10" s="218">
        <v>3</v>
      </c>
      <c r="F10" s="218"/>
      <c r="G10" s="218">
        <v>15</v>
      </c>
    </row>
    <row r="11" spans="1:7" x14ac:dyDescent="0.2">
      <c r="A11" s="217">
        <v>10772</v>
      </c>
      <c r="B11" s="218">
        <v>1</v>
      </c>
      <c r="C11" s="218">
        <v>3</v>
      </c>
      <c r="D11" s="218">
        <v>11</v>
      </c>
      <c r="E11" s="218">
        <v>2</v>
      </c>
      <c r="F11" s="218">
        <v>3</v>
      </c>
      <c r="G11" s="218">
        <v>20</v>
      </c>
    </row>
    <row r="12" spans="1:7" x14ac:dyDescent="0.2">
      <c r="A12" s="217">
        <v>10773</v>
      </c>
      <c r="B12" s="218">
        <v>1</v>
      </c>
      <c r="C12" s="218">
        <v>5</v>
      </c>
      <c r="D12" s="218">
        <v>6</v>
      </c>
      <c r="E12" s="218">
        <v>4</v>
      </c>
      <c r="F12" s="218"/>
      <c r="G12" s="218">
        <v>16</v>
      </c>
    </row>
    <row r="13" spans="1:7" x14ac:dyDescent="0.2">
      <c r="A13" s="217">
        <v>10774</v>
      </c>
      <c r="B13" s="218"/>
      <c r="C13" s="218">
        <v>7</v>
      </c>
      <c r="D13" s="218">
        <v>5</v>
      </c>
      <c r="E13" s="218">
        <v>3</v>
      </c>
      <c r="F13" s="218"/>
      <c r="G13" s="218">
        <v>15</v>
      </c>
    </row>
    <row r="14" spans="1:7" x14ac:dyDescent="0.2">
      <c r="A14" s="217">
        <v>10775</v>
      </c>
      <c r="B14" s="218"/>
      <c r="C14" s="218"/>
      <c r="D14" s="218">
        <v>2</v>
      </c>
      <c r="E14" s="218">
        <v>5</v>
      </c>
      <c r="F14" s="218"/>
      <c r="G14" s="218">
        <v>7</v>
      </c>
    </row>
    <row r="15" spans="1:7" x14ac:dyDescent="0.2">
      <c r="A15" s="217">
        <v>10776</v>
      </c>
      <c r="B15" s="218"/>
      <c r="C15" s="218"/>
      <c r="D15" s="218">
        <v>1</v>
      </c>
      <c r="E15" s="218">
        <v>7</v>
      </c>
      <c r="F15" s="218"/>
      <c r="G15" s="218">
        <v>8</v>
      </c>
    </row>
    <row r="16" spans="1:7" x14ac:dyDescent="0.2">
      <c r="A16" s="217">
        <v>10777</v>
      </c>
      <c r="B16" s="218"/>
      <c r="C16" s="218">
        <v>1</v>
      </c>
      <c r="D16" s="218">
        <v>1</v>
      </c>
      <c r="E16" s="218">
        <v>6</v>
      </c>
      <c r="F16" s="218">
        <v>2</v>
      </c>
      <c r="G16" s="218">
        <v>10</v>
      </c>
    </row>
    <row r="17" spans="1:7" x14ac:dyDescent="0.2">
      <c r="A17" s="217">
        <v>10778</v>
      </c>
      <c r="B17" s="218"/>
      <c r="C17" s="218">
        <v>3</v>
      </c>
      <c r="D17" s="218">
        <v>2</v>
      </c>
      <c r="E17" s="218">
        <v>1</v>
      </c>
      <c r="F17" s="218"/>
      <c r="G17" s="218">
        <v>6</v>
      </c>
    </row>
    <row r="18" spans="1:7" x14ac:dyDescent="0.2">
      <c r="A18" s="217">
        <v>10779</v>
      </c>
      <c r="B18" s="218"/>
      <c r="C18" s="218"/>
      <c r="D18" s="218">
        <v>6</v>
      </c>
      <c r="E18" s="218">
        <v>6</v>
      </c>
      <c r="F18" s="218"/>
      <c r="G18" s="218">
        <v>12</v>
      </c>
    </row>
    <row r="19" spans="1:7" x14ac:dyDescent="0.2">
      <c r="A19" s="217">
        <v>10780</v>
      </c>
      <c r="B19" s="218">
        <v>2</v>
      </c>
      <c r="C19" s="218">
        <v>7</v>
      </c>
      <c r="D19" s="218">
        <v>2</v>
      </c>
      <c r="E19" s="218">
        <v>1</v>
      </c>
      <c r="F19" s="218"/>
      <c r="G19" s="218">
        <v>12</v>
      </c>
    </row>
    <row r="20" spans="1:7" x14ac:dyDescent="0.2">
      <c r="A20" s="217">
        <v>10781</v>
      </c>
      <c r="B20" s="218"/>
      <c r="C20" s="218">
        <v>2</v>
      </c>
      <c r="D20" s="218">
        <v>2</v>
      </c>
      <c r="E20" s="218"/>
      <c r="F20" s="218"/>
      <c r="G20" s="218">
        <v>4</v>
      </c>
    </row>
    <row r="21" spans="1:7" x14ac:dyDescent="0.2">
      <c r="A21" s="217" t="s">
        <v>884</v>
      </c>
      <c r="B21" s="218">
        <v>11</v>
      </c>
      <c r="C21" s="218">
        <v>54</v>
      </c>
      <c r="D21" s="218">
        <v>64</v>
      </c>
      <c r="E21" s="218">
        <v>70</v>
      </c>
      <c r="F21" s="218">
        <v>6</v>
      </c>
      <c r="G21" s="218">
        <v>205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1"/>
  <sheetViews>
    <sheetView workbookViewId="0"/>
  </sheetViews>
  <sheetFormatPr defaultRowHeight="12.75" x14ac:dyDescent="0.2"/>
  <cols>
    <col min="1" max="1" width="15.5703125" bestFit="1" customWidth="1"/>
    <col min="2" max="2" width="14.42578125" customWidth="1"/>
    <col min="3" max="3" width="3.28515625" customWidth="1"/>
    <col min="4" max="4" width="2.140625" customWidth="1"/>
    <col min="5" max="5" width="12.5703125" customWidth="1"/>
    <col min="6" max="7" width="15.5703125" bestFit="1" customWidth="1"/>
    <col min="8" max="9" width="22.140625" bestFit="1" customWidth="1"/>
  </cols>
  <sheetData>
    <row r="3" spans="1:5" x14ac:dyDescent="0.2">
      <c r="A3" s="216" t="s">
        <v>885</v>
      </c>
      <c r="B3" s="216" t="s">
        <v>886</v>
      </c>
    </row>
    <row r="4" spans="1:5" x14ac:dyDescent="0.2">
      <c r="A4" s="216" t="s">
        <v>883</v>
      </c>
      <c r="B4" t="s">
        <v>867</v>
      </c>
      <c r="C4" t="s">
        <v>868</v>
      </c>
      <c r="D4" t="s">
        <v>869</v>
      </c>
      <c r="E4" t="s">
        <v>884</v>
      </c>
    </row>
    <row r="5" spans="1:5" x14ac:dyDescent="0.2">
      <c r="A5" s="217">
        <v>10660</v>
      </c>
      <c r="B5" s="218">
        <v>5</v>
      </c>
      <c r="C5" s="218">
        <v>12</v>
      </c>
      <c r="D5" s="218">
        <v>1</v>
      </c>
      <c r="E5" s="218">
        <v>18</v>
      </c>
    </row>
    <row r="6" spans="1:5" x14ac:dyDescent="0.2">
      <c r="A6" s="217">
        <v>10688</v>
      </c>
      <c r="B6" s="218">
        <v>6</v>
      </c>
      <c r="C6" s="218">
        <v>9</v>
      </c>
      <c r="D6" s="218"/>
      <c r="E6" s="218">
        <v>15</v>
      </c>
    </row>
    <row r="7" spans="1:5" x14ac:dyDescent="0.2">
      <c r="A7" s="217">
        <v>10768</v>
      </c>
      <c r="B7" s="218">
        <v>8</v>
      </c>
      <c r="C7" s="218">
        <v>4</v>
      </c>
      <c r="D7" s="218"/>
      <c r="E7" s="218">
        <v>12</v>
      </c>
    </row>
    <row r="8" spans="1:5" x14ac:dyDescent="0.2">
      <c r="A8" s="217">
        <v>10769</v>
      </c>
      <c r="B8" s="248">
        <v>7</v>
      </c>
      <c r="C8" s="248">
        <v>5</v>
      </c>
      <c r="D8" s="218"/>
      <c r="E8" s="218">
        <v>12</v>
      </c>
    </row>
    <row r="9" spans="1:5" x14ac:dyDescent="0.2">
      <c r="A9" s="217">
        <v>10770</v>
      </c>
      <c r="B9" s="248">
        <v>21</v>
      </c>
      <c r="C9" s="248">
        <v>2</v>
      </c>
      <c r="D9" s="218"/>
      <c r="E9" s="218">
        <v>23</v>
      </c>
    </row>
    <row r="10" spans="1:5" x14ac:dyDescent="0.2">
      <c r="A10" s="217">
        <v>10771</v>
      </c>
      <c r="B10" s="218">
        <v>12</v>
      </c>
      <c r="C10" s="218">
        <v>3</v>
      </c>
      <c r="D10" s="218"/>
      <c r="E10" s="218">
        <v>15</v>
      </c>
    </row>
    <row r="11" spans="1:5" x14ac:dyDescent="0.2">
      <c r="A11" s="217">
        <v>10772</v>
      </c>
      <c r="B11" s="248">
        <v>14</v>
      </c>
      <c r="C11" s="248">
        <v>3</v>
      </c>
      <c r="D11" s="248">
        <v>3</v>
      </c>
      <c r="E11" s="218">
        <v>20</v>
      </c>
    </row>
    <row r="12" spans="1:5" x14ac:dyDescent="0.2">
      <c r="A12" s="217">
        <v>10773</v>
      </c>
      <c r="B12" s="248">
        <v>12</v>
      </c>
      <c r="C12" s="248">
        <v>4</v>
      </c>
      <c r="D12" s="218"/>
      <c r="E12" s="218">
        <v>16</v>
      </c>
    </row>
    <row r="13" spans="1:5" x14ac:dyDescent="0.2">
      <c r="A13" s="217">
        <v>10774</v>
      </c>
      <c r="B13" s="218">
        <v>12</v>
      </c>
      <c r="C13" s="218">
        <v>3</v>
      </c>
      <c r="D13" s="218"/>
      <c r="E13" s="218">
        <v>15</v>
      </c>
    </row>
    <row r="14" spans="1:5" x14ac:dyDescent="0.2">
      <c r="A14" s="217">
        <v>10775</v>
      </c>
      <c r="B14" s="218">
        <v>2</v>
      </c>
      <c r="C14" s="218">
        <v>5</v>
      </c>
      <c r="D14" s="218"/>
      <c r="E14" s="218">
        <v>7</v>
      </c>
    </row>
    <row r="15" spans="1:5" x14ac:dyDescent="0.2">
      <c r="A15" s="217">
        <v>10776</v>
      </c>
      <c r="B15" s="218">
        <v>1</v>
      </c>
      <c r="C15" s="218">
        <v>7</v>
      </c>
      <c r="D15" s="218"/>
      <c r="E15" s="218">
        <v>8</v>
      </c>
    </row>
    <row r="16" spans="1:5" x14ac:dyDescent="0.2">
      <c r="A16" s="217">
        <v>10777</v>
      </c>
      <c r="B16" s="218">
        <v>2</v>
      </c>
      <c r="C16" s="218">
        <v>6</v>
      </c>
      <c r="D16" s="218">
        <v>2</v>
      </c>
      <c r="E16" s="218">
        <v>10</v>
      </c>
    </row>
    <row r="17" spans="1:5" x14ac:dyDescent="0.2">
      <c r="A17" s="217">
        <v>10778</v>
      </c>
      <c r="B17" s="218">
        <v>5</v>
      </c>
      <c r="C17" s="218">
        <v>1</v>
      </c>
      <c r="D17" s="218"/>
      <c r="E17" s="218">
        <v>6</v>
      </c>
    </row>
    <row r="18" spans="1:5" x14ac:dyDescent="0.2">
      <c r="A18" s="217">
        <v>10779</v>
      </c>
      <c r="B18" s="218">
        <v>6</v>
      </c>
      <c r="C18" s="218">
        <v>6</v>
      </c>
      <c r="D18" s="218"/>
      <c r="E18" s="218">
        <v>12</v>
      </c>
    </row>
    <row r="19" spans="1:5" x14ac:dyDescent="0.2">
      <c r="A19" s="217">
        <v>10780</v>
      </c>
      <c r="B19" s="218">
        <v>11</v>
      </c>
      <c r="C19" s="218">
        <v>1</v>
      </c>
      <c r="D19" s="218"/>
      <c r="E19" s="218">
        <v>12</v>
      </c>
    </row>
    <row r="20" spans="1:5" x14ac:dyDescent="0.2">
      <c r="A20" s="217">
        <v>10781</v>
      </c>
      <c r="B20" s="218">
        <v>4</v>
      </c>
      <c r="C20" s="218"/>
      <c r="D20" s="218"/>
      <c r="E20" s="218">
        <v>4</v>
      </c>
    </row>
    <row r="21" spans="1:5" x14ac:dyDescent="0.2">
      <c r="A21" s="217" t="s">
        <v>884</v>
      </c>
      <c r="B21" s="218">
        <v>128</v>
      </c>
      <c r="C21" s="218">
        <v>71</v>
      </c>
      <c r="D21" s="218">
        <v>6</v>
      </c>
      <c r="E21" s="218">
        <v>205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/>
  </sheetViews>
  <sheetFormatPr defaultRowHeight="12.75" x14ac:dyDescent="0.2"/>
  <cols>
    <col min="1" max="1" width="13.85546875" bestFit="1" customWidth="1"/>
    <col min="2" max="3" width="15.42578125" style="174" bestFit="1" customWidth="1"/>
    <col min="4" max="4" width="14.28515625" style="174" bestFit="1" customWidth="1"/>
    <col min="5" max="5" width="15.42578125" style="174" bestFit="1" customWidth="1"/>
  </cols>
  <sheetData>
    <row r="1" spans="1:8" ht="18.75" x14ac:dyDescent="0.3">
      <c r="A1" s="234" t="s">
        <v>894</v>
      </c>
    </row>
    <row r="3" spans="1:8" x14ac:dyDescent="0.2">
      <c r="A3" s="216" t="s">
        <v>888</v>
      </c>
      <c r="B3" s="216" t="s">
        <v>886</v>
      </c>
      <c r="C3"/>
      <c r="D3"/>
      <c r="E3"/>
    </row>
    <row r="4" spans="1:8" x14ac:dyDescent="0.2">
      <c r="A4" s="216" t="s">
        <v>883</v>
      </c>
      <c r="B4" t="s">
        <v>867</v>
      </c>
      <c r="C4" t="s">
        <v>868</v>
      </c>
      <c r="D4" t="s">
        <v>869</v>
      </c>
      <c r="E4" t="s">
        <v>884</v>
      </c>
    </row>
    <row r="5" spans="1:8" x14ac:dyDescent="0.2">
      <c r="A5" s="233">
        <v>10660</v>
      </c>
      <c r="B5" s="232">
        <v>1500000</v>
      </c>
      <c r="C5" s="232">
        <v>3960000</v>
      </c>
      <c r="D5" s="232">
        <v>360000</v>
      </c>
      <c r="E5" s="232">
        <v>5820000</v>
      </c>
    </row>
    <row r="6" spans="1:8" x14ac:dyDescent="0.2">
      <c r="A6" s="233">
        <v>10688</v>
      </c>
      <c r="B6" s="232">
        <v>1800000</v>
      </c>
      <c r="C6" s="232">
        <v>2970000</v>
      </c>
      <c r="D6" s="232"/>
      <c r="E6" s="232">
        <v>4770000</v>
      </c>
    </row>
    <row r="7" spans="1:8" x14ac:dyDescent="0.2">
      <c r="A7" s="233">
        <v>10768</v>
      </c>
      <c r="B7" s="232">
        <v>2400000</v>
      </c>
      <c r="C7" s="232">
        <v>1320000</v>
      </c>
      <c r="D7" s="232"/>
      <c r="E7" s="232">
        <v>3720000</v>
      </c>
    </row>
    <row r="8" spans="1:8" x14ac:dyDescent="0.2">
      <c r="A8" s="233">
        <v>10769</v>
      </c>
      <c r="B8" s="232">
        <v>2100000</v>
      </c>
      <c r="C8" s="232">
        <v>1650000</v>
      </c>
      <c r="D8" s="232"/>
      <c r="E8" s="232">
        <v>3750000</v>
      </c>
    </row>
    <row r="9" spans="1:8" x14ac:dyDescent="0.2">
      <c r="A9" s="233">
        <v>10770</v>
      </c>
      <c r="B9" s="232">
        <v>6300000</v>
      </c>
      <c r="C9" s="232">
        <v>660000</v>
      </c>
      <c r="D9" s="232"/>
      <c r="E9" s="232">
        <v>6960000</v>
      </c>
    </row>
    <row r="10" spans="1:8" x14ac:dyDescent="0.2">
      <c r="A10" s="233">
        <v>10771</v>
      </c>
      <c r="B10" s="232">
        <v>3600000</v>
      </c>
      <c r="C10" s="232">
        <v>990000</v>
      </c>
      <c r="D10" s="232"/>
      <c r="E10" s="232">
        <v>4590000</v>
      </c>
    </row>
    <row r="11" spans="1:8" x14ac:dyDescent="0.2">
      <c r="A11" s="233">
        <v>10772</v>
      </c>
      <c r="B11" s="232">
        <v>4200000</v>
      </c>
      <c r="C11" s="232">
        <v>990000</v>
      </c>
      <c r="D11" s="232">
        <v>1080000</v>
      </c>
      <c r="E11" s="232">
        <v>6270000</v>
      </c>
    </row>
    <row r="12" spans="1:8" x14ac:dyDescent="0.2">
      <c r="A12" s="233">
        <v>10773</v>
      </c>
      <c r="B12" s="232">
        <v>3600000</v>
      </c>
      <c r="C12" s="232">
        <v>1320000</v>
      </c>
      <c r="D12" s="232"/>
      <c r="E12" s="232">
        <v>4920000</v>
      </c>
    </row>
    <row r="13" spans="1:8" x14ac:dyDescent="0.2">
      <c r="A13" s="233">
        <v>10774</v>
      </c>
      <c r="B13" s="232">
        <v>3600000</v>
      </c>
      <c r="C13" s="232">
        <v>990000</v>
      </c>
      <c r="D13" s="232"/>
      <c r="E13" s="232">
        <v>4590000</v>
      </c>
    </row>
    <row r="14" spans="1:8" x14ac:dyDescent="0.2">
      <c r="A14" s="233">
        <v>10775</v>
      </c>
      <c r="B14" s="232">
        <v>600000</v>
      </c>
      <c r="C14" s="232">
        <v>1650000</v>
      </c>
      <c r="D14" s="232"/>
      <c r="E14" s="232">
        <v>2250000</v>
      </c>
    </row>
    <row r="15" spans="1:8" x14ac:dyDescent="0.2">
      <c r="A15" s="233">
        <v>10776</v>
      </c>
      <c r="B15" s="232">
        <v>300000</v>
      </c>
      <c r="C15" s="232">
        <v>2310000</v>
      </c>
      <c r="D15" s="232"/>
      <c r="E15" s="232">
        <v>2610000</v>
      </c>
      <c r="H15" s="174"/>
    </row>
    <row r="16" spans="1:8" x14ac:dyDescent="0.2">
      <c r="A16" s="233">
        <v>10777</v>
      </c>
      <c r="B16" s="232">
        <v>600000</v>
      </c>
      <c r="C16" s="232">
        <v>1980000</v>
      </c>
      <c r="D16" s="232">
        <v>720000</v>
      </c>
      <c r="E16" s="232">
        <v>3300000</v>
      </c>
    </row>
    <row r="17" spans="1:5" x14ac:dyDescent="0.2">
      <c r="A17" s="233">
        <v>10778</v>
      </c>
      <c r="B17" s="232">
        <v>1500000</v>
      </c>
      <c r="C17" s="232">
        <v>330000</v>
      </c>
      <c r="D17" s="232"/>
      <c r="E17" s="232">
        <v>1830000</v>
      </c>
    </row>
    <row r="18" spans="1:5" x14ac:dyDescent="0.2">
      <c r="A18" s="233">
        <v>10779</v>
      </c>
      <c r="B18" s="232">
        <v>1800000</v>
      </c>
      <c r="C18" s="232">
        <v>1980000</v>
      </c>
      <c r="D18" s="232"/>
      <c r="E18" s="232">
        <v>3780000</v>
      </c>
    </row>
    <row r="19" spans="1:5" x14ac:dyDescent="0.2">
      <c r="A19" s="233">
        <v>10780</v>
      </c>
      <c r="B19" s="232">
        <v>3300000</v>
      </c>
      <c r="C19" s="232">
        <v>330000</v>
      </c>
      <c r="D19" s="232"/>
      <c r="E19" s="232">
        <v>3630000</v>
      </c>
    </row>
    <row r="20" spans="1:5" x14ac:dyDescent="0.2">
      <c r="A20" s="233">
        <v>10781</v>
      </c>
      <c r="B20" s="232">
        <v>1200000</v>
      </c>
      <c r="C20" s="232"/>
      <c r="D20" s="232"/>
      <c r="E20" s="232">
        <v>1200000</v>
      </c>
    </row>
    <row r="21" spans="1:5" x14ac:dyDescent="0.2">
      <c r="A21" s="231" t="s">
        <v>884</v>
      </c>
      <c r="B21" s="232">
        <v>38400000</v>
      </c>
      <c r="C21" s="232">
        <v>23430000</v>
      </c>
      <c r="D21" s="232">
        <v>2160000</v>
      </c>
      <c r="E21" s="232">
        <v>63990000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P26"/>
  <sheetViews>
    <sheetView tabSelected="1" zoomScale="90" zoomScaleNormal="90" workbookViewId="0">
      <selection activeCell="S8" sqref="S8"/>
    </sheetView>
  </sheetViews>
  <sheetFormatPr defaultRowHeight="23.25" x14ac:dyDescent="0.35"/>
  <cols>
    <col min="1" max="1" width="21.85546875" style="256" customWidth="1"/>
    <col min="2" max="2" width="11.42578125" style="256" customWidth="1"/>
    <col min="3" max="3" width="18.5703125" style="256" hidden="1" customWidth="1"/>
    <col min="4" max="5" width="8.42578125" style="301" hidden="1" customWidth="1"/>
    <col min="6" max="6" width="19" style="302" hidden="1" customWidth="1"/>
    <col min="7" max="8" width="9" style="301" hidden="1" customWidth="1"/>
    <col min="9" max="9" width="19" style="301" hidden="1" customWidth="1"/>
    <col min="10" max="10" width="19" style="256" hidden="1" customWidth="1"/>
    <col min="11" max="13" width="6.5703125" style="256" customWidth="1"/>
    <col min="14" max="14" width="17.5703125" style="256" bestFit="1" customWidth="1"/>
    <col min="15" max="16" width="17.85546875" style="254" customWidth="1"/>
    <col min="17" max="17" width="16.140625" style="254" bestFit="1" customWidth="1"/>
    <col min="18" max="19" width="16.140625" style="254" customWidth="1"/>
    <col min="20" max="20" width="19" style="256" bestFit="1" customWidth="1"/>
    <col min="21" max="21" width="17" style="255" customWidth="1"/>
    <col min="22" max="22" width="14.7109375" style="256" customWidth="1"/>
    <col min="23" max="23" width="15.28515625" style="256" hidden="1" customWidth="1"/>
    <col min="24" max="24" width="14.7109375" style="256" hidden="1" customWidth="1"/>
    <col min="25" max="25" width="9.28515625" style="256" hidden="1" customWidth="1"/>
    <col min="26" max="27" width="0" style="256" hidden="1" customWidth="1"/>
    <col min="28" max="28" width="10" style="256" hidden="1" customWidth="1"/>
    <col min="29" max="29" width="25.28515625" style="256" hidden="1" customWidth="1"/>
    <col min="30" max="30" width="0" style="256" hidden="1" customWidth="1"/>
    <col min="31" max="31" width="22" style="256" hidden="1" customWidth="1"/>
    <col min="32" max="33" width="0" style="256" hidden="1" customWidth="1"/>
    <col min="34" max="34" width="21.28515625" style="257" hidden="1" customWidth="1"/>
    <col min="35" max="35" width="12.7109375" style="256" bestFit="1" customWidth="1"/>
    <col min="36" max="36" width="11.7109375" style="256" bestFit="1" customWidth="1"/>
    <col min="37" max="37" width="9.140625" style="256"/>
    <col min="38" max="38" width="14.28515625" style="256" bestFit="1" customWidth="1"/>
    <col min="39" max="39" width="9.140625" style="256"/>
    <col min="40" max="40" width="16.140625" style="256" bestFit="1" customWidth="1"/>
    <col min="41" max="16384" width="9.140625" style="256"/>
  </cols>
  <sheetData>
    <row r="1" spans="1:42" ht="22.5" customHeight="1" x14ac:dyDescent="0.35">
      <c r="A1" s="400" t="s">
        <v>924</v>
      </c>
      <c r="B1" s="400"/>
      <c r="C1" s="250"/>
      <c r="D1" s="251"/>
      <c r="E1" s="251"/>
      <c r="F1" s="252"/>
      <c r="G1" s="251"/>
      <c r="H1" s="251"/>
      <c r="I1" s="251"/>
      <c r="J1" s="253" t="s">
        <v>895</v>
      </c>
      <c r="K1" s="253"/>
      <c r="L1" s="253"/>
      <c r="M1" s="253"/>
      <c r="N1" s="253"/>
      <c r="T1" s="312">
        <f ca="1">NOW()</f>
        <v>44705.357244212966</v>
      </c>
    </row>
    <row r="2" spans="1:42" s="258" customFormat="1" ht="26.25" customHeight="1" x14ac:dyDescent="0.35">
      <c r="A2" s="401"/>
      <c r="B2" s="401"/>
      <c r="C2" s="402" t="s">
        <v>896</v>
      </c>
      <c r="D2" s="403"/>
      <c r="E2" s="404"/>
      <c r="F2" s="405" t="s">
        <v>897</v>
      </c>
      <c r="G2" s="405"/>
      <c r="H2" s="405"/>
      <c r="I2" s="405"/>
      <c r="J2" s="405"/>
      <c r="K2" s="406" t="s">
        <v>898</v>
      </c>
      <c r="L2" s="406"/>
      <c r="M2" s="406"/>
      <c r="N2" s="407" t="s">
        <v>908</v>
      </c>
      <c r="O2" s="409" t="s">
        <v>923</v>
      </c>
      <c r="P2" s="410"/>
      <c r="Q2" s="410"/>
      <c r="R2" s="410"/>
      <c r="S2" s="410"/>
      <c r="T2" s="410"/>
      <c r="U2" s="411"/>
      <c r="AH2" s="259"/>
    </row>
    <row r="3" spans="1:42" s="273" customFormat="1" ht="67.5" customHeight="1" x14ac:dyDescent="0.2">
      <c r="A3" s="260" t="s">
        <v>899</v>
      </c>
      <c r="B3" s="261" t="s">
        <v>900</v>
      </c>
      <c r="C3" s="262" t="s">
        <v>901</v>
      </c>
      <c r="D3" s="263" t="s">
        <v>902</v>
      </c>
      <c r="E3" s="264" t="s">
        <v>903</v>
      </c>
      <c r="F3" s="265" t="s">
        <v>901</v>
      </c>
      <c r="G3" s="266" t="s">
        <v>902</v>
      </c>
      <c r="H3" s="267" t="s">
        <v>903</v>
      </c>
      <c r="I3" s="268" t="s">
        <v>904</v>
      </c>
      <c r="J3" s="268" t="s">
        <v>905</v>
      </c>
      <c r="K3" s="269" t="s">
        <v>867</v>
      </c>
      <c r="L3" s="269" t="s">
        <v>868</v>
      </c>
      <c r="M3" s="269" t="s">
        <v>869</v>
      </c>
      <c r="N3" s="408"/>
      <c r="O3" s="270" t="s">
        <v>909</v>
      </c>
      <c r="P3" s="270" t="s">
        <v>915</v>
      </c>
      <c r="Q3" s="270" t="s">
        <v>918</v>
      </c>
      <c r="R3" s="316" t="s">
        <v>928</v>
      </c>
      <c r="S3" s="313" t="s">
        <v>929</v>
      </c>
      <c r="T3" s="271" t="s">
        <v>906</v>
      </c>
      <c r="U3" s="272" t="s">
        <v>913</v>
      </c>
      <c r="V3" s="272" t="s">
        <v>914</v>
      </c>
      <c r="W3" s="272" t="s">
        <v>914</v>
      </c>
      <c r="X3" s="272" t="s">
        <v>914</v>
      </c>
      <c r="Y3" s="272" t="s">
        <v>914</v>
      </c>
      <c r="Z3" s="272" t="s">
        <v>914</v>
      </c>
      <c r="AA3" s="272" t="s">
        <v>914</v>
      </c>
      <c r="AB3" s="272" t="s">
        <v>914</v>
      </c>
      <c r="AC3" s="272" t="s">
        <v>914</v>
      </c>
      <c r="AD3" s="272" t="s">
        <v>914</v>
      </c>
      <c r="AE3" s="272" t="s">
        <v>914</v>
      </c>
      <c r="AF3" s="272" t="s">
        <v>914</v>
      </c>
      <c r="AG3" s="272" t="s">
        <v>914</v>
      </c>
      <c r="AH3" s="272" t="s">
        <v>914</v>
      </c>
      <c r="AI3" s="272" t="s">
        <v>917</v>
      </c>
    </row>
    <row r="4" spans="1:42" ht="21" customHeight="1" x14ac:dyDescent="0.35">
      <c r="A4" s="274" t="s">
        <v>766</v>
      </c>
      <c r="B4" s="304">
        <f>SUM(K4:M4)</f>
        <v>18</v>
      </c>
      <c r="C4" s="276"/>
      <c r="D4" s="275"/>
      <c r="E4" s="275"/>
      <c r="F4" s="277"/>
      <c r="G4" s="275"/>
      <c r="H4" s="275"/>
      <c r="I4" s="278"/>
      <c r="J4" s="279"/>
      <c r="K4" s="280">
        <v>5</v>
      </c>
      <c r="L4" s="280">
        <v>12</v>
      </c>
      <c r="M4" s="280">
        <v>1</v>
      </c>
      <c r="N4" s="281">
        <v>5820000</v>
      </c>
      <c r="O4" s="279">
        <v>5820000</v>
      </c>
      <c r="P4" s="279"/>
      <c r="Q4" s="279"/>
      <c r="R4" s="279">
        <f>SUM(O4:Q4)</f>
        <v>5820000</v>
      </c>
      <c r="S4" s="314"/>
      <c r="T4" s="279">
        <f>+R4+S4</f>
        <v>5820000</v>
      </c>
      <c r="U4" s="282">
        <v>44284</v>
      </c>
      <c r="W4" s="254">
        <v>5820000</v>
      </c>
      <c r="X4" s="254">
        <v>5910000</v>
      </c>
      <c r="Y4" s="254">
        <v>101.73961840628509</v>
      </c>
      <c r="Z4" s="283">
        <v>101.54639175257732</v>
      </c>
      <c r="AC4" s="283">
        <f>+T4-AE4</f>
        <v>-90000</v>
      </c>
      <c r="AE4" s="284">
        <v>5910000</v>
      </c>
      <c r="AF4" s="256">
        <v>101.64421997755333</v>
      </c>
      <c r="AG4" s="256">
        <v>18</v>
      </c>
      <c r="AH4" s="257">
        <v>43973</v>
      </c>
    </row>
    <row r="5" spans="1:42" ht="21" customHeight="1" x14ac:dyDescent="0.35">
      <c r="A5" s="274" t="s">
        <v>171</v>
      </c>
      <c r="B5" s="304">
        <f t="shared" ref="B5:B19" si="0">SUM(K5:M5)</f>
        <v>15</v>
      </c>
      <c r="C5" s="285">
        <v>798135.46</v>
      </c>
      <c r="D5" s="275">
        <v>6</v>
      </c>
      <c r="E5" s="275">
        <v>9</v>
      </c>
      <c r="F5" s="277">
        <v>-3685715.3400000003</v>
      </c>
      <c r="G5" s="275">
        <v>13</v>
      </c>
      <c r="H5" s="275">
        <v>2</v>
      </c>
      <c r="I5" s="278">
        <v>14158170.319999998</v>
      </c>
      <c r="J5" s="279">
        <v>10472454.98</v>
      </c>
      <c r="K5" s="280">
        <v>6</v>
      </c>
      <c r="L5" s="280">
        <v>9</v>
      </c>
      <c r="M5" s="280"/>
      <c r="N5" s="286">
        <v>4770000</v>
      </c>
      <c r="O5" s="279">
        <v>4770000</v>
      </c>
      <c r="P5" s="279"/>
      <c r="Q5" s="279"/>
      <c r="R5" s="279">
        <f t="shared" ref="R5:R19" si="1">SUM(O5:Q5)</f>
        <v>4770000</v>
      </c>
      <c r="S5" s="314"/>
      <c r="T5" s="279">
        <f t="shared" ref="T5:T19" si="2">+R5+S5</f>
        <v>4770000</v>
      </c>
      <c r="U5" s="282">
        <v>44265</v>
      </c>
      <c r="W5" s="254">
        <v>4740000</v>
      </c>
      <c r="X5" s="254"/>
      <c r="Y5" s="254"/>
      <c r="Z5" s="283">
        <v>0</v>
      </c>
      <c r="AC5" s="283">
        <f t="shared" ref="AC5:AC19" si="3">+T5-AE5</f>
        <v>0</v>
      </c>
      <c r="AE5" s="284">
        <v>4770000</v>
      </c>
      <c r="AF5" s="256">
        <v>99.771721212121207</v>
      </c>
      <c r="AG5" s="256">
        <v>15</v>
      </c>
      <c r="AH5" s="257">
        <v>43936</v>
      </c>
    </row>
    <row r="6" spans="1:42" ht="21" customHeight="1" x14ac:dyDescent="0.35">
      <c r="A6" s="274" t="s">
        <v>37</v>
      </c>
      <c r="B6" s="304">
        <f t="shared" si="0"/>
        <v>12</v>
      </c>
      <c r="C6" s="285">
        <v>-995213.25</v>
      </c>
      <c r="D6" s="275">
        <v>8</v>
      </c>
      <c r="E6" s="275">
        <v>4</v>
      </c>
      <c r="F6" s="277">
        <v>1094125.8900000001</v>
      </c>
      <c r="G6" s="275">
        <v>1</v>
      </c>
      <c r="H6" s="275">
        <v>11</v>
      </c>
      <c r="I6" s="278">
        <v>9513124.5600000005</v>
      </c>
      <c r="J6" s="279">
        <v>10607250.449999999</v>
      </c>
      <c r="K6" s="280">
        <v>8</v>
      </c>
      <c r="L6" s="280">
        <v>4</v>
      </c>
      <c r="M6" s="280"/>
      <c r="N6" s="287">
        <v>3720000</v>
      </c>
      <c r="O6" s="279">
        <v>1860000</v>
      </c>
      <c r="P6" s="279">
        <v>1860000</v>
      </c>
      <c r="Q6" s="279"/>
      <c r="R6" s="279">
        <f t="shared" si="1"/>
        <v>3720000</v>
      </c>
      <c r="S6" s="314"/>
      <c r="T6" s="279">
        <f t="shared" si="2"/>
        <v>3720000</v>
      </c>
      <c r="U6" s="282">
        <v>44230</v>
      </c>
      <c r="V6" s="282">
        <v>44330</v>
      </c>
      <c r="W6" s="254">
        <v>3750000</v>
      </c>
      <c r="X6" s="254">
        <v>4000000</v>
      </c>
      <c r="Y6" s="254">
        <v>106.31313131313134</v>
      </c>
      <c r="Z6" s="283">
        <v>106.66666666666667</v>
      </c>
      <c r="AC6" s="283">
        <f t="shared" si="3"/>
        <v>428000</v>
      </c>
      <c r="AE6" s="284">
        <v>3292000</v>
      </c>
      <c r="AF6" s="256">
        <v>88.714646464646478</v>
      </c>
      <c r="AG6" s="256">
        <v>12</v>
      </c>
      <c r="AH6" s="257">
        <v>44120</v>
      </c>
    </row>
    <row r="7" spans="1:42" ht="21" customHeight="1" x14ac:dyDescent="0.35">
      <c r="A7" s="274" t="s">
        <v>48</v>
      </c>
      <c r="B7" s="304">
        <f t="shared" si="0"/>
        <v>12</v>
      </c>
      <c r="C7" s="285">
        <v>822285.47</v>
      </c>
      <c r="D7" s="275">
        <v>6</v>
      </c>
      <c r="E7" s="275">
        <v>6</v>
      </c>
      <c r="F7" s="277">
        <v>835308.31</v>
      </c>
      <c r="G7" s="275">
        <v>2</v>
      </c>
      <c r="H7" s="275">
        <v>10</v>
      </c>
      <c r="I7" s="278">
        <v>7121227.0899999999</v>
      </c>
      <c r="J7" s="279">
        <v>7956535.4000000004</v>
      </c>
      <c r="K7" s="280">
        <v>7</v>
      </c>
      <c r="L7" s="280">
        <v>5</v>
      </c>
      <c r="M7" s="280"/>
      <c r="N7" s="287">
        <v>3750000</v>
      </c>
      <c r="O7" s="279">
        <v>1860000</v>
      </c>
      <c r="P7" s="279">
        <v>1860000</v>
      </c>
      <c r="Q7" s="279"/>
      <c r="R7" s="279">
        <f t="shared" si="1"/>
        <v>3720000</v>
      </c>
      <c r="S7" s="314"/>
      <c r="T7" s="279">
        <f t="shared" si="2"/>
        <v>3720000</v>
      </c>
      <c r="U7" s="282">
        <v>44242</v>
      </c>
      <c r="V7" s="282">
        <v>44344</v>
      </c>
      <c r="W7" s="254">
        <v>3720000</v>
      </c>
      <c r="X7" s="254"/>
      <c r="Y7" s="254"/>
      <c r="Z7" s="283">
        <v>0</v>
      </c>
      <c r="AC7" s="283">
        <f t="shared" si="3"/>
        <v>0</v>
      </c>
      <c r="AE7" s="284">
        <v>3720000</v>
      </c>
      <c r="AF7" s="256">
        <v>100.00000000000001</v>
      </c>
      <c r="AG7" s="256">
        <v>12</v>
      </c>
      <c r="AH7" s="257">
        <v>44007</v>
      </c>
    </row>
    <row r="8" spans="1:42" ht="21" customHeight="1" x14ac:dyDescent="0.35">
      <c r="A8" s="274" t="s">
        <v>60</v>
      </c>
      <c r="B8" s="304">
        <f t="shared" si="0"/>
        <v>23</v>
      </c>
      <c r="C8" s="285">
        <v>-652666.48999999976</v>
      </c>
      <c r="D8" s="275">
        <v>11</v>
      </c>
      <c r="E8" s="275">
        <v>12</v>
      </c>
      <c r="F8" s="277">
        <v>1709224.78</v>
      </c>
      <c r="G8" s="275">
        <v>4</v>
      </c>
      <c r="H8" s="275">
        <v>19</v>
      </c>
      <c r="I8" s="278">
        <v>4144478.82</v>
      </c>
      <c r="J8" s="279">
        <v>5853703.6000000006</v>
      </c>
      <c r="K8" s="280">
        <v>21</v>
      </c>
      <c r="L8" s="280">
        <v>2</v>
      </c>
      <c r="M8" s="280"/>
      <c r="N8" s="287">
        <v>6960000</v>
      </c>
      <c r="O8" s="279">
        <v>875469.5</v>
      </c>
      <c r="P8" s="279">
        <v>1358538.3999999997</v>
      </c>
      <c r="Q8" s="279">
        <v>690000</v>
      </c>
      <c r="R8" s="279">
        <f t="shared" si="1"/>
        <v>2924007.8999999994</v>
      </c>
      <c r="S8" s="314">
        <v>1915756.56</v>
      </c>
      <c r="T8" s="279">
        <f t="shared" si="2"/>
        <v>4839764.459999999</v>
      </c>
      <c r="U8" s="282">
        <v>44207</v>
      </c>
      <c r="V8" s="282">
        <v>44334</v>
      </c>
      <c r="W8" s="282">
        <v>44335</v>
      </c>
      <c r="X8" s="282">
        <v>44336</v>
      </c>
      <c r="Y8" s="282">
        <v>44337</v>
      </c>
      <c r="Z8" s="282">
        <v>44338</v>
      </c>
      <c r="AA8" s="282">
        <v>44339</v>
      </c>
      <c r="AB8" s="282">
        <v>44340</v>
      </c>
      <c r="AC8" s="282">
        <v>44341</v>
      </c>
      <c r="AD8" s="282">
        <v>44342</v>
      </c>
      <c r="AE8" s="282">
        <v>44343</v>
      </c>
      <c r="AF8" s="282">
        <v>44344</v>
      </c>
      <c r="AG8" s="282">
        <v>44345</v>
      </c>
      <c r="AH8" s="282">
        <v>44346</v>
      </c>
      <c r="AI8" s="282">
        <v>44419</v>
      </c>
      <c r="AJ8" s="315">
        <v>44530</v>
      </c>
      <c r="AK8" s="256" t="s">
        <v>919</v>
      </c>
      <c r="AL8" s="256" t="s">
        <v>920</v>
      </c>
    </row>
    <row r="9" spans="1:42" ht="21" customHeight="1" x14ac:dyDescent="0.35">
      <c r="A9" s="274" t="s">
        <v>82</v>
      </c>
      <c r="B9" s="304">
        <f t="shared" si="0"/>
        <v>15</v>
      </c>
      <c r="C9" s="285">
        <v>-174634.57</v>
      </c>
      <c r="D9" s="275">
        <v>6</v>
      </c>
      <c r="E9" s="275">
        <v>9</v>
      </c>
      <c r="F9" s="277">
        <v>-1223951.56</v>
      </c>
      <c r="G9" s="275">
        <v>14</v>
      </c>
      <c r="H9" s="275">
        <v>1</v>
      </c>
      <c r="I9" s="278">
        <v>5281805.5</v>
      </c>
      <c r="J9" s="279">
        <v>4057586.94</v>
      </c>
      <c r="K9" s="280">
        <v>12</v>
      </c>
      <c r="L9" s="280">
        <v>3</v>
      </c>
      <c r="M9" s="280"/>
      <c r="N9" s="287">
        <v>4590000</v>
      </c>
      <c r="O9" s="279">
        <f>750000+750000</f>
        <v>1500000</v>
      </c>
      <c r="P9" s="279"/>
      <c r="Q9" s="279">
        <v>1500000</v>
      </c>
      <c r="R9" s="279">
        <f t="shared" si="1"/>
        <v>3000000</v>
      </c>
      <c r="S9" s="314"/>
      <c r="T9" s="279">
        <f t="shared" si="2"/>
        <v>3000000</v>
      </c>
      <c r="U9" s="282">
        <v>44185</v>
      </c>
      <c r="V9" s="282">
        <v>44286</v>
      </c>
      <c r="W9" s="254">
        <v>4590000</v>
      </c>
      <c r="X9" s="254">
        <v>2295000</v>
      </c>
      <c r="Y9" s="254">
        <v>49.836363636363636</v>
      </c>
      <c r="Z9" s="283">
        <v>50</v>
      </c>
      <c r="AC9" s="283">
        <f t="shared" si="3"/>
        <v>-80000</v>
      </c>
      <c r="AE9" s="284">
        <v>3080000</v>
      </c>
      <c r="AF9" s="256">
        <v>66.961616161616149</v>
      </c>
      <c r="AG9" s="256">
        <v>15</v>
      </c>
      <c r="AH9" s="257">
        <v>44042</v>
      </c>
      <c r="AI9" s="282">
        <v>44468</v>
      </c>
    </row>
    <row r="10" spans="1:42" ht="21" customHeight="1" x14ac:dyDescent="0.35">
      <c r="A10" s="274" t="s">
        <v>757</v>
      </c>
      <c r="B10" s="304">
        <f t="shared" si="0"/>
        <v>20</v>
      </c>
      <c r="C10" s="285"/>
      <c r="D10" s="275"/>
      <c r="E10" s="275"/>
      <c r="F10" s="277"/>
      <c r="G10" s="275"/>
      <c r="H10" s="275"/>
      <c r="I10" s="278"/>
      <c r="J10" s="279"/>
      <c r="K10" s="280">
        <v>14</v>
      </c>
      <c r="L10" s="280">
        <v>3</v>
      </c>
      <c r="M10" s="280">
        <v>3</v>
      </c>
      <c r="N10" s="287">
        <v>6270000</v>
      </c>
      <c r="O10" s="279">
        <v>3135000</v>
      </c>
      <c r="Q10" s="279"/>
      <c r="R10" s="279">
        <f t="shared" si="1"/>
        <v>3135000</v>
      </c>
      <c r="S10" s="314">
        <v>2735000</v>
      </c>
      <c r="T10" s="279">
        <f t="shared" si="2"/>
        <v>5870000</v>
      </c>
      <c r="U10" s="282">
        <v>44258</v>
      </c>
      <c r="V10" s="315">
        <v>44512</v>
      </c>
      <c r="W10" s="254">
        <v>6240000</v>
      </c>
      <c r="X10" s="254">
        <v>3500000</v>
      </c>
      <c r="Y10" s="254">
        <v>53.63636363636364</v>
      </c>
      <c r="Z10" s="283">
        <v>56.089743589743591</v>
      </c>
      <c r="AC10" s="283">
        <f t="shared" si="3"/>
        <v>-400000</v>
      </c>
      <c r="AE10" s="284">
        <v>6270000</v>
      </c>
      <c r="AF10" s="256">
        <v>98.386363636363654</v>
      </c>
      <c r="AG10" s="256">
        <v>20</v>
      </c>
      <c r="AH10" s="257">
        <v>43983</v>
      </c>
      <c r="AI10" s="256" t="s">
        <v>922</v>
      </c>
      <c r="AN10" s="283">
        <f>+T10+AP10</f>
        <v>6270000</v>
      </c>
      <c r="AP10" s="254">
        <v>400000</v>
      </c>
    </row>
    <row r="11" spans="1:42" ht="21" customHeight="1" x14ac:dyDescent="0.35">
      <c r="A11" s="274" t="s">
        <v>115</v>
      </c>
      <c r="B11" s="304">
        <f t="shared" si="0"/>
        <v>16</v>
      </c>
      <c r="C11" s="285">
        <v>-147233.29999999999</v>
      </c>
      <c r="D11" s="275">
        <v>12</v>
      </c>
      <c r="E11" s="275">
        <v>4</v>
      </c>
      <c r="F11" s="277">
        <v>448936.78</v>
      </c>
      <c r="G11" s="275">
        <v>7</v>
      </c>
      <c r="H11" s="275">
        <v>9</v>
      </c>
      <c r="I11" s="278">
        <v>2248049.12</v>
      </c>
      <c r="J11" s="279">
        <v>2696985.9</v>
      </c>
      <c r="K11" s="280">
        <v>12</v>
      </c>
      <c r="L11" s="280">
        <v>4</v>
      </c>
      <c r="M11" s="280"/>
      <c r="N11" s="287">
        <v>4920000</v>
      </c>
      <c r="O11" s="279">
        <v>800000</v>
      </c>
      <c r="P11" s="279">
        <v>800000</v>
      </c>
      <c r="Q11" s="279"/>
      <c r="R11" s="279">
        <f t="shared" si="1"/>
        <v>1600000</v>
      </c>
      <c r="S11" s="314"/>
      <c r="T11" s="279">
        <f t="shared" si="2"/>
        <v>1600000</v>
      </c>
      <c r="U11" s="282">
        <v>44223</v>
      </c>
      <c r="V11" s="282">
        <v>44390</v>
      </c>
      <c r="W11" s="254">
        <v>4860000</v>
      </c>
      <c r="X11" s="254"/>
      <c r="Y11" s="254"/>
      <c r="Z11" s="283">
        <v>0</v>
      </c>
      <c r="AC11" s="283">
        <f t="shared" si="3"/>
        <v>254848</v>
      </c>
      <c r="AE11" s="284">
        <v>1345152</v>
      </c>
      <c r="AF11" s="256">
        <v>27.83460606060606</v>
      </c>
      <c r="AG11" s="256">
        <v>16</v>
      </c>
      <c r="AH11" s="257">
        <v>43992</v>
      </c>
    </row>
    <row r="12" spans="1:42" ht="21" customHeight="1" x14ac:dyDescent="0.35">
      <c r="A12" s="274" t="s">
        <v>131</v>
      </c>
      <c r="B12" s="304">
        <f t="shared" si="0"/>
        <v>15</v>
      </c>
      <c r="C12" s="285">
        <v>186624.53999999992</v>
      </c>
      <c r="D12" s="275">
        <v>5</v>
      </c>
      <c r="E12" s="275">
        <v>10</v>
      </c>
      <c r="F12" s="277">
        <v>218983.66000000006</v>
      </c>
      <c r="G12" s="275">
        <v>6</v>
      </c>
      <c r="H12" s="275">
        <v>9</v>
      </c>
      <c r="I12" s="278">
        <v>9405596.6300000008</v>
      </c>
      <c r="J12" s="279">
        <v>9624580.290000001</v>
      </c>
      <c r="K12" s="280">
        <v>12</v>
      </c>
      <c r="L12" s="280">
        <v>3</v>
      </c>
      <c r="M12" s="280"/>
      <c r="N12" s="287">
        <v>4590000</v>
      </c>
      <c r="O12" s="279">
        <v>2295000</v>
      </c>
      <c r="P12" s="279">
        <v>2295000</v>
      </c>
      <c r="Q12" s="279"/>
      <c r="R12" s="279">
        <f t="shared" si="1"/>
        <v>4590000</v>
      </c>
      <c r="S12" s="314"/>
      <c r="T12" s="279">
        <f t="shared" si="2"/>
        <v>4590000</v>
      </c>
      <c r="U12" s="282">
        <v>44204</v>
      </c>
      <c r="V12" s="282">
        <v>44377</v>
      </c>
      <c r="W12" s="254">
        <v>4560000</v>
      </c>
      <c r="X12" s="254">
        <v>3080000</v>
      </c>
      <c r="Y12" s="254">
        <v>67.555555555555571</v>
      </c>
      <c r="Z12" s="283">
        <v>67.543859649122808</v>
      </c>
      <c r="AC12" s="283">
        <f t="shared" si="3"/>
        <v>0</v>
      </c>
      <c r="AE12" s="284">
        <v>4590000</v>
      </c>
      <c r="AF12" s="256">
        <v>99.797979797979806</v>
      </c>
      <c r="AG12" s="256">
        <v>15</v>
      </c>
      <c r="AH12" s="257">
        <v>44092</v>
      </c>
    </row>
    <row r="13" spans="1:42" ht="21" customHeight="1" x14ac:dyDescent="0.35">
      <c r="A13" s="274" t="s">
        <v>146</v>
      </c>
      <c r="B13" s="304">
        <f t="shared" si="0"/>
        <v>7</v>
      </c>
      <c r="C13" s="285">
        <v>24356.949999999837</v>
      </c>
      <c r="D13" s="275">
        <v>2</v>
      </c>
      <c r="E13" s="275">
        <v>5</v>
      </c>
      <c r="F13" s="277">
        <v>1550050.5099999998</v>
      </c>
      <c r="G13" s="275">
        <v>1</v>
      </c>
      <c r="H13" s="275">
        <v>6</v>
      </c>
      <c r="I13" s="278">
        <v>2626431.0299999998</v>
      </c>
      <c r="J13" s="279">
        <v>4176481.54</v>
      </c>
      <c r="K13" s="280">
        <v>2</v>
      </c>
      <c r="L13" s="280">
        <v>5</v>
      </c>
      <c r="M13" s="280"/>
      <c r="N13" s="287">
        <v>2250000</v>
      </c>
      <c r="O13" s="288">
        <v>1554000</v>
      </c>
      <c r="P13" s="279">
        <v>666000</v>
      </c>
      <c r="Q13" s="279"/>
      <c r="R13" s="279">
        <f t="shared" si="1"/>
        <v>2220000</v>
      </c>
      <c r="S13" s="314"/>
      <c r="T13" s="279">
        <f t="shared" si="2"/>
        <v>2220000</v>
      </c>
      <c r="U13" s="282">
        <v>44130</v>
      </c>
      <c r="V13" s="282">
        <v>44378</v>
      </c>
      <c r="W13" s="254">
        <v>2250000</v>
      </c>
      <c r="X13" s="254">
        <v>2113000</v>
      </c>
      <c r="Y13" s="254">
        <v>93.80952380952381</v>
      </c>
      <c r="Z13" s="283">
        <v>93.911111111111111</v>
      </c>
      <c r="AC13" s="283">
        <f t="shared" si="3"/>
        <v>0</v>
      </c>
      <c r="AE13" s="284">
        <v>2220000</v>
      </c>
      <c r="AF13" s="256">
        <v>98.722943722943725</v>
      </c>
      <c r="AG13" s="256">
        <v>7</v>
      </c>
      <c r="AH13" s="257">
        <v>44042</v>
      </c>
    </row>
    <row r="14" spans="1:42" s="296" customFormat="1" ht="21" customHeight="1" x14ac:dyDescent="0.35">
      <c r="A14" s="289" t="s">
        <v>154</v>
      </c>
      <c r="B14" s="304">
        <f t="shared" si="0"/>
        <v>8</v>
      </c>
      <c r="C14" s="291">
        <v>-117578.2000000003</v>
      </c>
      <c r="D14" s="290">
        <v>6</v>
      </c>
      <c r="E14" s="290">
        <v>2</v>
      </c>
      <c r="F14" s="292">
        <v>434161.37</v>
      </c>
      <c r="G14" s="290">
        <v>3</v>
      </c>
      <c r="H14" s="290">
        <v>5</v>
      </c>
      <c r="I14" s="293">
        <v>5977996.6499999994</v>
      </c>
      <c r="J14" s="294">
        <v>6412158.0199999996</v>
      </c>
      <c r="K14" s="295">
        <v>1</v>
      </c>
      <c r="L14" s="295">
        <v>7</v>
      </c>
      <c r="M14" s="295"/>
      <c r="N14" s="287">
        <v>2610000</v>
      </c>
      <c r="O14" s="254">
        <v>1305000</v>
      </c>
      <c r="P14" s="294">
        <v>1305000</v>
      </c>
      <c r="Q14" s="294"/>
      <c r="R14" s="279">
        <f t="shared" si="1"/>
        <v>2610000</v>
      </c>
      <c r="S14" s="314"/>
      <c r="T14" s="279">
        <f t="shared" si="2"/>
        <v>2610000</v>
      </c>
      <c r="U14" s="282">
        <v>44148</v>
      </c>
      <c r="V14" s="282">
        <v>44330</v>
      </c>
      <c r="W14" s="297">
        <v>2550000</v>
      </c>
      <c r="X14" s="297">
        <v>1305000</v>
      </c>
      <c r="Y14" s="297">
        <v>51.337121212121211</v>
      </c>
      <c r="Z14" s="298">
        <v>51.176470588235297</v>
      </c>
      <c r="AB14" s="298">
        <v>60000</v>
      </c>
      <c r="AC14" s="283">
        <f t="shared" si="3"/>
        <v>0</v>
      </c>
      <c r="AE14" s="299">
        <v>2610000</v>
      </c>
      <c r="AF14" s="296">
        <v>100</v>
      </c>
      <c r="AG14" s="296">
        <v>8</v>
      </c>
      <c r="AH14" s="300">
        <v>43951</v>
      </c>
    </row>
    <row r="15" spans="1:42" ht="21" customHeight="1" x14ac:dyDescent="0.35">
      <c r="A15" s="274" t="s">
        <v>163</v>
      </c>
      <c r="B15" s="304">
        <f t="shared" si="0"/>
        <v>10</v>
      </c>
      <c r="C15" s="285">
        <v>704381.13</v>
      </c>
      <c r="D15" s="275">
        <v>4</v>
      </c>
      <c r="E15" s="275">
        <v>6</v>
      </c>
      <c r="F15" s="277">
        <v>400648.81</v>
      </c>
      <c r="G15" s="275">
        <v>1</v>
      </c>
      <c r="H15" s="275">
        <v>9</v>
      </c>
      <c r="I15" s="278">
        <v>5890635.8899999997</v>
      </c>
      <c r="J15" s="279">
        <v>6291284.6999999993</v>
      </c>
      <c r="K15" s="280">
        <v>2</v>
      </c>
      <c r="L15" s="280">
        <v>6</v>
      </c>
      <c r="M15" s="280">
        <v>2</v>
      </c>
      <c r="N15" s="287">
        <v>3300000</v>
      </c>
      <c r="O15" s="279">
        <v>3700000</v>
      </c>
      <c r="P15" s="279"/>
      <c r="Q15" s="279"/>
      <c r="R15" s="279">
        <f t="shared" si="1"/>
        <v>3700000</v>
      </c>
      <c r="S15" s="314">
        <v>1550000</v>
      </c>
      <c r="T15" s="279">
        <f t="shared" si="2"/>
        <v>5250000</v>
      </c>
      <c r="U15" s="317">
        <v>44152</v>
      </c>
      <c r="V15" s="282">
        <v>44246</v>
      </c>
      <c r="W15" s="282">
        <v>44247</v>
      </c>
      <c r="X15" s="282">
        <v>44248</v>
      </c>
      <c r="Y15" s="282">
        <v>44249</v>
      </c>
      <c r="Z15" s="282">
        <v>44250</v>
      </c>
      <c r="AA15" s="282">
        <v>44251</v>
      </c>
      <c r="AB15" s="282">
        <v>44252</v>
      </c>
      <c r="AC15" s="282">
        <v>44253</v>
      </c>
      <c r="AD15" s="282">
        <v>44254</v>
      </c>
      <c r="AE15" s="282">
        <v>44255</v>
      </c>
      <c r="AF15" s="282">
        <v>44256</v>
      </c>
      <c r="AG15" s="282">
        <v>44257</v>
      </c>
      <c r="AH15" s="282">
        <v>44258</v>
      </c>
      <c r="AI15" s="315">
        <v>44474</v>
      </c>
    </row>
    <row r="16" spans="1:42" ht="21" customHeight="1" x14ac:dyDescent="0.35">
      <c r="A16" s="274" t="s">
        <v>188</v>
      </c>
      <c r="B16" s="304">
        <f t="shared" si="0"/>
        <v>6</v>
      </c>
      <c r="C16" s="285">
        <v>518409.50000000006</v>
      </c>
      <c r="D16" s="275">
        <v>1</v>
      </c>
      <c r="E16" s="275">
        <v>5</v>
      </c>
      <c r="F16" s="277">
        <v>2194755.5499999998</v>
      </c>
      <c r="G16" s="275" t="s">
        <v>907</v>
      </c>
      <c r="H16" s="275">
        <v>6</v>
      </c>
      <c r="I16" s="278">
        <v>3339342.1099999994</v>
      </c>
      <c r="J16" s="279">
        <v>5534097.6600000001</v>
      </c>
      <c r="K16" s="280">
        <v>5</v>
      </c>
      <c r="L16" s="280">
        <v>1</v>
      </c>
      <c r="M16" s="280"/>
      <c r="N16" s="287">
        <v>1830000</v>
      </c>
      <c r="O16" s="279">
        <v>489511.35</v>
      </c>
      <c r="P16" s="279"/>
      <c r="Q16" s="279"/>
      <c r="R16" s="279">
        <f t="shared" si="1"/>
        <v>489511.35</v>
      </c>
      <c r="S16" s="314"/>
      <c r="T16" s="279">
        <f t="shared" si="2"/>
        <v>489511.35</v>
      </c>
      <c r="U16" s="282">
        <v>44238</v>
      </c>
      <c r="V16" s="256" t="s">
        <v>926</v>
      </c>
      <c r="W16" s="254">
        <v>1860000</v>
      </c>
      <c r="X16" s="254">
        <v>930000</v>
      </c>
      <c r="Y16" s="254">
        <v>50.075757575757571</v>
      </c>
      <c r="Z16" s="283">
        <v>50</v>
      </c>
      <c r="AC16" s="283">
        <f t="shared" si="3"/>
        <v>-929459.75000000012</v>
      </c>
      <c r="AE16" s="284">
        <v>1418971.1</v>
      </c>
      <c r="AF16" s="256">
        <v>77.515806414141409</v>
      </c>
      <c r="AG16" s="256">
        <v>6</v>
      </c>
      <c r="AH16" s="257">
        <v>44027</v>
      </c>
    </row>
    <row r="17" spans="1:37" ht="21" customHeight="1" x14ac:dyDescent="0.35">
      <c r="A17" s="274" t="s">
        <v>199</v>
      </c>
      <c r="B17" s="304">
        <f t="shared" si="0"/>
        <v>12</v>
      </c>
      <c r="C17" s="285">
        <v>-1165182.6599999997</v>
      </c>
      <c r="D17" s="275">
        <v>8</v>
      </c>
      <c r="E17" s="275">
        <v>4</v>
      </c>
      <c r="F17" s="277">
        <v>-328577.27000000008</v>
      </c>
      <c r="G17" s="275">
        <v>8</v>
      </c>
      <c r="H17" s="275">
        <v>4</v>
      </c>
      <c r="I17" s="278">
        <v>4985520.51</v>
      </c>
      <c r="J17" s="279">
        <v>4656943.24</v>
      </c>
      <c r="K17" s="280">
        <v>6</v>
      </c>
      <c r="L17" s="280">
        <v>6</v>
      </c>
      <c r="M17" s="280"/>
      <c r="N17" s="287">
        <v>3780000</v>
      </c>
      <c r="O17" s="279">
        <v>945000</v>
      </c>
      <c r="P17" s="279">
        <v>1890000</v>
      </c>
      <c r="Q17" s="279">
        <v>945000</v>
      </c>
      <c r="R17" s="279">
        <f t="shared" si="1"/>
        <v>3780000</v>
      </c>
      <c r="S17" s="314"/>
      <c r="T17" s="279">
        <f t="shared" si="2"/>
        <v>3780000</v>
      </c>
      <c r="U17" s="282">
        <v>44228</v>
      </c>
      <c r="V17" s="282">
        <v>44343</v>
      </c>
      <c r="W17" s="282">
        <v>44344</v>
      </c>
      <c r="X17" s="282">
        <v>44345</v>
      </c>
      <c r="Y17" s="282">
        <v>44346</v>
      </c>
      <c r="Z17" s="282">
        <v>44347</v>
      </c>
      <c r="AA17" s="282">
        <v>44348</v>
      </c>
      <c r="AB17" s="282">
        <v>44349</v>
      </c>
      <c r="AC17" s="282">
        <v>44350</v>
      </c>
      <c r="AD17" s="282">
        <v>44351</v>
      </c>
      <c r="AE17" s="282">
        <v>44352</v>
      </c>
      <c r="AF17" s="282">
        <v>44353</v>
      </c>
      <c r="AG17" s="282">
        <v>44354</v>
      </c>
      <c r="AH17" s="282">
        <v>44355</v>
      </c>
      <c r="AI17" s="282">
        <v>44460</v>
      </c>
      <c r="AK17" s="256" t="s">
        <v>921</v>
      </c>
    </row>
    <row r="18" spans="1:37" ht="21" customHeight="1" x14ac:dyDescent="0.35">
      <c r="A18" s="274" t="s">
        <v>206</v>
      </c>
      <c r="B18" s="304">
        <f t="shared" si="0"/>
        <v>12</v>
      </c>
      <c r="C18" s="285">
        <v>-703576.76</v>
      </c>
      <c r="D18" s="275">
        <v>7</v>
      </c>
      <c r="E18" s="275">
        <v>5</v>
      </c>
      <c r="F18" s="277">
        <v>-1589109.73</v>
      </c>
      <c r="G18" s="275">
        <v>1</v>
      </c>
      <c r="H18" s="275">
        <v>11</v>
      </c>
      <c r="I18" s="278">
        <v>5966216.1399999997</v>
      </c>
      <c r="J18" s="279">
        <v>4377106.41</v>
      </c>
      <c r="K18" s="280">
        <v>11</v>
      </c>
      <c r="L18" s="280">
        <v>1</v>
      </c>
      <c r="M18" s="280"/>
      <c r="N18" s="287">
        <v>3630000</v>
      </c>
      <c r="O18" s="279">
        <v>2055000</v>
      </c>
      <c r="P18" s="279">
        <v>1770880</v>
      </c>
      <c r="Q18" s="279"/>
      <c r="R18" s="279">
        <f t="shared" si="1"/>
        <v>3825880</v>
      </c>
      <c r="S18" s="314"/>
      <c r="T18" s="279">
        <f t="shared" si="2"/>
        <v>3825880</v>
      </c>
      <c r="U18" s="282">
        <v>44264</v>
      </c>
      <c r="V18" s="282">
        <v>44361</v>
      </c>
      <c r="W18" s="254">
        <v>3630000</v>
      </c>
      <c r="X18" s="254">
        <v>1815000</v>
      </c>
      <c r="Y18" s="254">
        <v>50</v>
      </c>
      <c r="Z18" s="283">
        <v>50</v>
      </c>
      <c r="AC18" s="283">
        <f t="shared" si="3"/>
        <v>810880</v>
      </c>
      <c r="AE18" s="284">
        <v>3015000</v>
      </c>
      <c r="AF18" s="256">
        <v>83.080808080808069</v>
      </c>
      <c r="AG18" s="256">
        <v>12</v>
      </c>
      <c r="AH18" s="257">
        <v>44103</v>
      </c>
    </row>
    <row r="19" spans="1:37" ht="21" customHeight="1" x14ac:dyDescent="0.35">
      <c r="A19" s="274" t="s">
        <v>214</v>
      </c>
      <c r="B19" s="304">
        <f t="shared" si="0"/>
        <v>4</v>
      </c>
      <c r="C19" s="285">
        <v>336336.14</v>
      </c>
      <c r="D19" s="275">
        <v>2</v>
      </c>
      <c r="E19" s="275">
        <v>2</v>
      </c>
      <c r="F19" s="277">
        <v>490367.66000000003</v>
      </c>
      <c r="G19" s="275" t="s">
        <v>907</v>
      </c>
      <c r="H19" s="275">
        <v>4</v>
      </c>
      <c r="I19" s="278">
        <v>1293040.92</v>
      </c>
      <c r="J19" s="279">
        <v>1783408.58</v>
      </c>
      <c r="K19" s="280">
        <v>4</v>
      </c>
      <c r="L19" s="280"/>
      <c r="M19" s="280"/>
      <c r="N19" s="287">
        <v>1200000</v>
      </c>
      <c r="O19" s="288">
        <v>800000</v>
      </c>
      <c r="P19" s="279"/>
      <c r="Q19" s="279"/>
      <c r="R19" s="279">
        <f t="shared" si="1"/>
        <v>800000</v>
      </c>
      <c r="S19" s="314"/>
      <c r="T19" s="279">
        <f t="shared" si="2"/>
        <v>800000</v>
      </c>
      <c r="U19" s="282">
        <v>44179</v>
      </c>
      <c r="W19" s="254">
        <v>1200000</v>
      </c>
      <c r="X19" s="254">
        <v>800000</v>
      </c>
      <c r="Y19" s="254">
        <v>66.666666666666671</v>
      </c>
      <c r="Z19" s="283">
        <v>66.666666666666671</v>
      </c>
      <c r="AC19" s="283">
        <f t="shared" si="3"/>
        <v>0</v>
      </c>
      <c r="AE19" s="284">
        <v>800000</v>
      </c>
      <c r="AF19" s="256">
        <v>66.666666666666671</v>
      </c>
      <c r="AG19" s="256">
        <v>4</v>
      </c>
      <c r="AH19" s="257">
        <v>43789</v>
      </c>
    </row>
    <row r="20" spans="1:37" x14ac:dyDescent="0.35">
      <c r="B20" s="311">
        <f>SUM(B4:B19)</f>
        <v>205</v>
      </c>
      <c r="C20" s="311">
        <f t="shared" ref="C20:M20" si="4">SUM(C4:C19)</f>
        <v>-565556.03999999992</v>
      </c>
      <c r="D20" s="311">
        <f t="shared" si="4"/>
        <v>84</v>
      </c>
      <c r="E20" s="311">
        <f t="shared" si="4"/>
        <v>83</v>
      </c>
      <c r="F20" s="311">
        <f t="shared" si="4"/>
        <v>2549209.42</v>
      </c>
      <c r="G20" s="311">
        <f t="shared" si="4"/>
        <v>61</v>
      </c>
      <c r="H20" s="311">
        <f t="shared" si="4"/>
        <v>106</v>
      </c>
      <c r="I20" s="311">
        <f t="shared" si="4"/>
        <v>81951635.290000007</v>
      </c>
      <c r="J20" s="311">
        <f t="shared" si="4"/>
        <v>84500577.709999979</v>
      </c>
      <c r="K20" s="311">
        <f t="shared" si="4"/>
        <v>128</v>
      </c>
      <c r="L20" s="311">
        <f t="shared" si="4"/>
        <v>71</v>
      </c>
      <c r="M20" s="311">
        <f t="shared" si="4"/>
        <v>6</v>
      </c>
      <c r="N20" s="283">
        <f>SUM(N4:N19)</f>
        <v>63990000</v>
      </c>
      <c r="O20" s="283">
        <f>SUM(O4:O19)</f>
        <v>33763980.850000001</v>
      </c>
      <c r="P20" s="283">
        <f>SUM(P4:P19)</f>
        <v>13805418.399999999</v>
      </c>
      <c r="Q20" s="283"/>
      <c r="R20" s="283"/>
      <c r="S20" s="283"/>
      <c r="T20" s="279">
        <f>SUM(T4:T19)</f>
        <v>56905155.810000002</v>
      </c>
      <c r="W20" s="254">
        <v>63840000</v>
      </c>
      <c r="X20" s="254">
        <v>29318000</v>
      </c>
      <c r="Y20" s="254">
        <v>72.810069195895991</v>
      </c>
      <c r="Z20" s="283">
        <v>45.92418546365915</v>
      </c>
    </row>
    <row r="21" spans="1:37" x14ac:dyDescent="0.35">
      <c r="A21" s="399" t="s">
        <v>925</v>
      </c>
      <c r="B21" s="399"/>
      <c r="C21" s="399"/>
      <c r="D21" s="399"/>
      <c r="E21" s="399"/>
      <c r="F21" s="399"/>
      <c r="G21" s="399"/>
      <c r="H21" s="399"/>
      <c r="I21" s="399"/>
      <c r="J21" s="399"/>
      <c r="K21" s="399"/>
      <c r="L21" s="399"/>
      <c r="M21" s="399"/>
      <c r="N21" s="399"/>
      <c r="O21" s="399"/>
      <c r="P21" s="399"/>
      <c r="Q21" s="399"/>
      <c r="R21" s="399"/>
      <c r="S21" s="399"/>
      <c r="T21" s="399"/>
    </row>
    <row r="26" spans="1:37" x14ac:dyDescent="0.35">
      <c r="O26" s="303"/>
      <c r="P26" s="303"/>
      <c r="Q26" s="303"/>
      <c r="R26" s="303"/>
      <c r="S26" s="303"/>
    </row>
  </sheetData>
  <mergeCells count="7">
    <mergeCell ref="A21:T21"/>
    <mergeCell ref="A1:B2"/>
    <mergeCell ref="C2:E2"/>
    <mergeCell ref="F2:J2"/>
    <mergeCell ref="K2:M2"/>
    <mergeCell ref="N2:N3"/>
    <mergeCell ref="O2:U2"/>
  </mergeCells>
  <conditionalFormatting sqref="C4:C19">
    <cfRule type="cellIs" dxfId="1" priority="2" operator="lessThan">
      <formula>0</formula>
    </cfRule>
  </conditionalFormatting>
  <conditionalFormatting sqref="F4:F19">
    <cfRule type="cellIs" dxfId="0" priority="1" operator="lessThan">
      <formula>0</formula>
    </cfRule>
  </conditionalFormatting>
  <pageMargins left="0.35433070866141736" right="0.15748031496062992" top="0.19685039370078741" bottom="0.19685039370078741" header="0.31496062992125984" footer="0.31496062992125984"/>
  <pageSetup paperSize="9" scale="60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2"/>
  <sheetViews>
    <sheetView workbookViewId="0">
      <selection sqref="A1:C1"/>
    </sheetView>
  </sheetViews>
  <sheetFormatPr defaultRowHeight="21" x14ac:dyDescent="0.35"/>
  <cols>
    <col min="1" max="1" width="14.7109375" style="2" customWidth="1"/>
    <col min="2" max="2" width="37.28515625" style="2" customWidth="1"/>
    <col min="3" max="3" width="18.7109375" style="22" customWidth="1"/>
    <col min="4" max="4" width="16.42578125" style="2" customWidth="1"/>
    <col min="5" max="5" width="9.140625" style="22"/>
    <col min="6" max="6" width="14.85546875" style="22" customWidth="1"/>
    <col min="7" max="7" width="14.140625" style="22" customWidth="1"/>
    <col min="8" max="8" width="9.140625" style="22"/>
    <col min="9" max="9" width="16.85546875" style="22" customWidth="1"/>
    <col min="10" max="10" width="13.42578125" style="22" customWidth="1"/>
    <col min="11" max="16384" width="9.140625" style="2"/>
  </cols>
  <sheetData>
    <row r="1" spans="1:15" x14ac:dyDescent="0.35">
      <c r="A1" s="334" t="s">
        <v>723</v>
      </c>
      <c r="B1" s="334"/>
      <c r="C1" s="334"/>
      <c r="D1" s="330" t="s">
        <v>248</v>
      </c>
      <c r="E1" s="330"/>
      <c r="F1" s="330"/>
      <c r="G1" s="330"/>
      <c r="H1" s="330"/>
      <c r="I1" s="330"/>
      <c r="J1" s="330"/>
    </row>
    <row r="2" spans="1:15" x14ac:dyDescent="0.35">
      <c r="A2" s="334" t="s">
        <v>861</v>
      </c>
      <c r="B2" s="334"/>
      <c r="C2" s="334"/>
      <c r="D2" s="330" t="s">
        <v>862</v>
      </c>
      <c r="E2" s="330"/>
      <c r="F2" s="330"/>
      <c r="G2" s="330"/>
      <c r="H2" s="330"/>
      <c r="I2" s="330"/>
      <c r="J2" s="330"/>
    </row>
    <row r="3" spans="1:15" x14ac:dyDescent="0.35">
      <c r="D3" s="44"/>
      <c r="E3" s="44"/>
      <c r="F3" s="335" t="s">
        <v>716</v>
      </c>
      <c r="G3" s="335"/>
      <c r="H3" s="335"/>
      <c r="I3" s="335"/>
      <c r="J3" s="335"/>
    </row>
    <row r="4" spans="1:15" x14ac:dyDescent="0.35">
      <c r="A4" s="85" t="s">
        <v>714</v>
      </c>
      <c r="B4" s="85" t="s">
        <v>254</v>
      </c>
      <c r="C4" s="86" t="s">
        <v>715</v>
      </c>
      <c r="D4" s="18" t="s">
        <v>223</v>
      </c>
      <c r="E4" s="19" t="s">
        <v>222</v>
      </c>
      <c r="F4" s="19" t="s">
        <v>218</v>
      </c>
      <c r="G4" s="19" t="s">
        <v>219</v>
      </c>
      <c r="H4" s="19" t="s">
        <v>225</v>
      </c>
      <c r="I4" s="19" t="s">
        <v>226</v>
      </c>
      <c r="J4" s="19" t="s">
        <v>221</v>
      </c>
    </row>
    <row r="5" spans="1:15" x14ac:dyDescent="0.35">
      <c r="A5" s="6" t="s">
        <v>461</v>
      </c>
      <c r="B5" s="6" t="s">
        <v>462</v>
      </c>
      <c r="C5" s="87">
        <v>2609</v>
      </c>
      <c r="D5" s="16" t="s">
        <v>48</v>
      </c>
      <c r="E5" s="17" t="s">
        <v>0</v>
      </c>
      <c r="F5" s="13">
        <v>0</v>
      </c>
      <c r="G5" s="13">
        <v>2</v>
      </c>
      <c r="H5" s="13">
        <v>0</v>
      </c>
      <c r="I5" s="15">
        <v>0</v>
      </c>
      <c r="J5" s="13">
        <v>1</v>
      </c>
    </row>
    <row r="6" spans="1:15" x14ac:dyDescent="0.35">
      <c r="A6" s="6"/>
      <c r="B6" s="6"/>
      <c r="C6" s="87"/>
      <c r="D6" s="16" t="s">
        <v>48</v>
      </c>
      <c r="E6" s="17" t="s">
        <v>17</v>
      </c>
      <c r="F6" s="13">
        <v>402</v>
      </c>
      <c r="G6" s="13">
        <v>157</v>
      </c>
      <c r="H6" s="13">
        <v>17</v>
      </c>
      <c r="I6" s="13">
        <v>22</v>
      </c>
      <c r="J6" s="15">
        <v>3</v>
      </c>
    </row>
    <row r="7" spans="1:15" x14ac:dyDescent="0.35">
      <c r="A7" s="73"/>
      <c r="B7" s="73"/>
      <c r="C7" s="83"/>
      <c r="D7" s="16" t="s">
        <v>48</v>
      </c>
      <c r="E7" s="17" t="s">
        <v>2</v>
      </c>
      <c r="F7" s="13">
        <v>119</v>
      </c>
      <c r="G7" s="13">
        <v>52</v>
      </c>
      <c r="H7" s="13">
        <v>4</v>
      </c>
      <c r="I7" s="13">
        <v>0</v>
      </c>
      <c r="J7" s="15">
        <v>1</v>
      </c>
    </row>
    <row r="8" spans="1:15" x14ac:dyDescent="0.35">
      <c r="A8" s="73"/>
      <c r="B8" s="73"/>
      <c r="C8" s="83"/>
      <c r="D8" s="16" t="s">
        <v>48</v>
      </c>
      <c r="E8" s="17" t="s">
        <v>3</v>
      </c>
      <c r="F8" s="13">
        <v>62</v>
      </c>
      <c r="G8" s="13">
        <v>22</v>
      </c>
      <c r="H8" s="13">
        <v>1</v>
      </c>
      <c r="I8" s="13">
        <v>2</v>
      </c>
      <c r="J8" s="15">
        <v>0</v>
      </c>
    </row>
    <row r="9" spans="1:15" x14ac:dyDescent="0.35">
      <c r="A9" s="73"/>
      <c r="B9" s="73"/>
      <c r="C9" s="83"/>
      <c r="D9" s="16" t="s">
        <v>48</v>
      </c>
      <c r="E9" s="17" t="s">
        <v>4</v>
      </c>
      <c r="F9" s="13">
        <v>133</v>
      </c>
      <c r="G9" s="13">
        <v>34</v>
      </c>
      <c r="H9" s="13">
        <v>12</v>
      </c>
      <c r="I9" s="13">
        <v>7</v>
      </c>
      <c r="J9" s="13">
        <v>1</v>
      </c>
    </row>
    <row r="10" spans="1:15" x14ac:dyDescent="0.35">
      <c r="A10" s="73"/>
      <c r="B10" s="73"/>
      <c r="C10" s="83"/>
      <c r="D10" s="16" t="s">
        <v>48</v>
      </c>
      <c r="E10" s="17" t="s">
        <v>5</v>
      </c>
      <c r="F10" s="13">
        <v>155</v>
      </c>
      <c r="G10" s="13">
        <v>81</v>
      </c>
      <c r="H10" s="13">
        <v>10</v>
      </c>
      <c r="I10" s="13">
        <v>4</v>
      </c>
      <c r="J10" s="15">
        <v>0</v>
      </c>
    </row>
    <row r="11" spans="1:15" x14ac:dyDescent="0.35">
      <c r="A11" s="73"/>
      <c r="B11" s="73"/>
      <c r="C11" s="83"/>
      <c r="D11" s="16" t="s">
        <v>48</v>
      </c>
      <c r="E11" s="17" t="s">
        <v>6</v>
      </c>
      <c r="F11" s="13">
        <v>152</v>
      </c>
      <c r="G11" s="13">
        <v>51</v>
      </c>
      <c r="H11" s="13">
        <v>3</v>
      </c>
      <c r="I11" s="13">
        <v>8</v>
      </c>
      <c r="J11" s="15">
        <v>1</v>
      </c>
    </row>
    <row r="12" spans="1:15" x14ac:dyDescent="0.35">
      <c r="A12" s="73"/>
      <c r="B12" s="73"/>
      <c r="C12" s="83"/>
      <c r="D12" s="16" t="s">
        <v>48</v>
      </c>
      <c r="E12" s="17" t="s">
        <v>7</v>
      </c>
      <c r="F12" s="13">
        <v>154</v>
      </c>
      <c r="G12" s="13">
        <v>61</v>
      </c>
      <c r="H12" s="13">
        <v>14</v>
      </c>
      <c r="I12" s="13">
        <v>5</v>
      </c>
      <c r="J12" s="15">
        <v>0</v>
      </c>
    </row>
    <row r="13" spans="1:15" x14ac:dyDescent="0.35">
      <c r="A13" s="73"/>
      <c r="B13" s="73"/>
      <c r="C13" s="83"/>
      <c r="D13" s="16" t="s">
        <v>48</v>
      </c>
      <c r="E13" s="17" t="s">
        <v>8</v>
      </c>
      <c r="F13" s="13">
        <v>136</v>
      </c>
      <c r="G13" s="13">
        <v>56</v>
      </c>
      <c r="H13" s="13">
        <v>4</v>
      </c>
      <c r="I13" s="13">
        <v>10</v>
      </c>
      <c r="J13" s="15">
        <v>2</v>
      </c>
    </row>
    <row r="14" spans="1:15" x14ac:dyDescent="0.35">
      <c r="A14" s="73"/>
      <c r="B14" s="73"/>
      <c r="C14" s="83"/>
      <c r="D14" s="16" t="s">
        <v>48</v>
      </c>
      <c r="E14" s="17" t="s">
        <v>9</v>
      </c>
      <c r="F14" s="13">
        <v>34</v>
      </c>
      <c r="G14" s="13">
        <v>22</v>
      </c>
      <c r="H14" s="13">
        <v>3</v>
      </c>
      <c r="I14" s="13">
        <v>3</v>
      </c>
      <c r="J14" s="15">
        <v>0</v>
      </c>
    </row>
    <row r="15" spans="1:15" x14ac:dyDescent="0.35">
      <c r="A15" s="73"/>
      <c r="B15" s="73"/>
      <c r="C15" s="83"/>
      <c r="D15" s="16" t="s">
        <v>48</v>
      </c>
      <c r="E15" s="17" t="s">
        <v>15</v>
      </c>
      <c r="F15" s="13">
        <v>0</v>
      </c>
      <c r="G15" s="13">
        <v>1</v>
      </c>
      <c r="H15" s="15">
        <v>0</v>
      </c>
      <c r="I15" s="15">
        <v>0</v>
      </c>
      <c r="J15" s="15">
        <v>0</v>
      </c>
      <c r="K15" s="2">
        <f>SUM(F5:F15)</f>
        <v>1347</v>
      </c>
      <c r="L15" s="2">
        <f t="shared" ref="L15:O15" si="0">SUM(G5:G15)</f>
        <v>539</v>
      </c>
      <c r="M15" s="2">
        <f t="shared" si="0"/>
        <v>68</v>
      </c>
      <c r="N15" s="2">
        <f t="shared" si="0"/>
        <v>61</v>
      </c>
      <c r="O15" s="2">
        <f t="shared" si="0"/>
        <v>9</v>
      </c>
    </row>
    <row r="16" spans="1:15" x14ac:dyDescent="0.35">
      <c r="A16" s="3" t="s">
        <v>455</v>
      </c>
      <c r="B16" s="3" t="s">
        <v>456</v>
      </c>
      <c r="C16" s="88">
        <v>2847</v>
      </c>
      <c r="D16" s="16" t="s">
        <v>49</v>
      </c>
      <c r="E16" s="17" t="s">
        <v>17</v>
      </c>
      <c r="F16" s="12">
        <v>159</v>
      </c>
      <c r="G16" s="12">
        <v>27</v>
      </c>
      <c r="H16" s="12">
        <v>11</v>
      </c>
      <c r="I16" s="12">
        <v>6</v>
      </c>
      <c r="J16" s="14">
        <v>1</v>
      </c>
    </row>
    <row r="17" spans="1:15" x14ac:dyDescent="0.35">
      <c r="A17" s="79"/>
      <c r="B17" s="79"/>
      <c r="C17" s="84"/>
      <c r="D17" s="16" t="s">
        <v>49</v>
      </c>
      <c r="E17" s="17" t="s">
        <v>2</v>
      </c>
      <c r="F17" s="12">
        <v>126</v>
      </c>
      <c r="G17" s="12">
        <v>31</v>
      </c>
      <c r="H17" s="12">
        <v>21</v>
      </c>
      <c r="I17" s="12">
        <v>6</v>
      </c>
      <c r="J17" s="12">
        <v>1</v>
      </c>
    </row>
    <row r="18" spans="1:15" x14ac:dyDescent="0.35">
      <c r="A18" s="79"/>
      <c r="B18" s="79"/>
      <c r="C18" s="84"/>
      <c r="D18" s="16" t="s">
        <v>49</v>
      </c>
      <c r="E18" s="17" t="s">
        <v>3</v>
      </c>
      <c r="F18" s="12">
        <v>131</v>
      </c>
      <c r="G18" s="12">
        <v>33</v>
      </c>
      <c r="H18" s="12">
        <v>9</v>
      </c>
      <c r="I18" s="12">
        <v>12</v>
      </c>
      <c r="J18" s="14">
        <v>1</v>
      </c>
    </row>
    <row r="19" spans="1:15" x14ac:dyDescent="0.35">
      <c r="A19" s="79"/>
      <c r="B19" s="79"/>
      <c r="C19" s="84"/>
      <c r="D19" s="16" t="s">
        <v>49</v>
      </c>
      <c r="E19" s="17" t="s">
        <v>4</v>
      </c>
      <c r="F19" s="12">
        <v>82</v>
      </c>
      <c r="G19" s="12">
        <v>32</v>
      </c>
      <c r="H19" s="12">
        <v>3</v>
      </c>
      <c r="I19" s="12">
        <v>4</v>
      </c>
      <c r="J19" s="14">
        <v>1</v>
      </c>
    </row>
    <row r="20" spans="1:15" x14ac:dyDescent="0.35">
      <c r="A20" s="79"/>
      <c r="B20" s="79"/>
      <c r="C20" s="84"/>
      <c r="D20" s="16" t="s">
        <v>49</v>
      </c>
      <c r="E20" s="17" t="s">
        <v>5</v>
      </c>
      <c r="F20" s="12">
        <v>195</v>
      </c>
      <c r="G20" s="12">
        <v>34</v>
      </c>
      <c r="H20" s="12">
        <v>10</v>
      </c>
      <c r="I20" s="12">
        <v>5</v>
      </c>
      <c r="J20" s="12">
        <v>1</v>
      </c>
    </row>
    <row r="21" spans="1:15" x14ac:dyDescent="0.35">
      <c r="A21" s="79"/>
      <c r="B21" s="79"/>
      <c r="C21" s="84"/>
      <c r="D21" s="16" t="s">
        <v>49</v>
      </c>
      <c r="E21" s="17" t="s">
        <v>6</v>
      </c>
      <c r="F21" s="12">
        <v>169</v>
      </c>
      <c r="G21" s="12">
        <v>47</v>
      </c>
      <c r="H21" s="12">
        <v>1</v>
      </c>
      <c r="I21" s="12">
        <v>3</v>
      </c>
      <c r="J21" s="14">
        <v>1</v>
      </c>
    </row>
    <row r="22" spans="1:15" x14ac:dyDescent="0.35">
      <c r="A22" s="79"/>
      <c r="B22" s="79"/>
      <c r="C22" s="84"/>
      <c r="D22" s="16" t="s">
        <v>49</v>
      </c>
      <c r="E22" s="17" t="s">
        <v>7</v>
      </c>
      <c r="F22" s="12">
        <v>155</v>
      </c>
      <c r="G22" s="12">
        <v>84</v>
      </c>
      <c r="H22" s="12">
        <v>8</v>
      </c>
      <c r="I22" s="12">
        <v>12</v>
      </c>
      <c r="J22" s="14">
        <v>3</v>
      </c>
    </row>
    <row r="23" spans="1:15" x14ac:dyDescent="0.35">
      <c r="A23" s="79"/>
      <c r="B23" s="79"/>
      <c r="C23" s="84"/>
      <c r="D23" s="16" t="s">
        <v>49</v>
      </c>
      <c r="E23" s="17" t="s">
        <v>8</v>
      </c>
      <c r="F23" s="12">
        <v>79</v>
      </c>
      <c r="G23" s="12">
        <v>10</v>
      </c>
      <c r="H23" s="12">
        <v>12</v>
      </c>
      <c r="I23" s="12">
        <v>2</v>
      </c>
      <c r="J23" s="14">
        <v>0</v>
      </c>
      <c r="K23" s="2">
        <f>SUM(F16:F23)</f>
        <v>1096</v>
      </c>
      <c r="L23" s="2">
        <f t="shared" ref="L23:O23" si="1">SUM(G16:G23)</f>
        <v>298</v>
      </c>
      <c r="M23" s="2">
        <f t="shared" si="1"/>
        <v>75</v>
      </c>
      <c r="N23" s="2">
        <f t="shared" si="1"/>
        <v>50</v>
      </c>
      <c r="O23" s="2">
        <f t="shared" si="1"/>
        <v>9</v>
      </c>
    </row>
    <row r="24" spans="1:15" x14ac:dyDescent="0.35">
      <c r="A24" s="6" t="s">
        <v>459</v>
      </c>
      <c r="B24" s="6" t="s">
        <v>460</v>
      </c>
      <c r="C24" s="87">
        <v>264</v>
      </c>
      <c r="D24" s="16" t="s">
        <v>50</v>
      </c>
      <c r="E24" s="17" t="s">
        <v>17</v>
      </c>
      <c r="F24" s="13">
        <v>168</v>
      </c>
      <c r="G24" s="13">
        <v>72</v>
      </c>
      <c r="H24" s="13">
        <v>7</v>
      </c>
      <c r="I24" s="13">
        <v>8</v>
      </c>
      <c r="J24" s="15">
        <v>2</v>
      </c>
    </row>
    <row r="25" spans="1:15" x14ac:dyDescent="0.35">
      <c r="A25" s="73"/>
      <c r="B25" s="73"/>
      <c r="C25" s="83"/>
      <c r="D25" s="16" t="s">
        <v>50</v>
      </c>
      <c r="E25" s="17" t="s">
        <v>2</v>
      </c>
      <c r="F25" s="13">
        <v>431</v>
      </c>
      <c r="G25" s="13">
        <v>184</v>
      </c>
      <c r="H25" s="13">
        <v>10</v>
      </c>
      <c r="I25" s="13">
        <v>25</v>
      </c>
      <c r="J25" s="13">
        <v>4</v>
      </c>
    </row>
    <row r="26" spans="1:15" x14ac:dyDescent="0.35">
      <c r="A26" s="73"/>
      <c r="B26" s="73"/>
      <c r="C26" s="83"/>
      <c r="D26" s="16" t="s">
        <v>50</v>
      </c>
      <c r="E26" s="17" t="s">
        <v>3</v>
      </c>
      <c r="F26" s="13">
        <v>98</v>
      </c>
      <c r="G26" s="13">
        <v>66</v>
      </c>
      <c r="H26" s="13">
        <v>3</v>
      </c>
      <c r="I26" s="13">
        <v>7</v>
      </c>
      <c r="J26" s="15">
        <v>2</v>
      </c>
    </row>
    <row r="27" spans="1:15" x14ac:dyDescent="0.35">
      <c r="A27" s="73"/>
      <c r="B27" s="73"/>
      <c r="C27" s="83"/>
      <c r="D27" s="16" t="s">
        <v>50</v>
      </c>
      <c r="E27" s="17" t="s">
        <v>4</v>
      </c>
      <c r="F27" s="13">
        <v>123</v>
      </c>
      <c r="G27" s="13">
        <v>37</v>
      </c>
      <c r="H27" s="15">
        <v>0</v>
      </c>
      <c r="I27" s="13">
        <v>6</v>
      </c>
      <c r="J27" s="15">
        <v>1</v>
      </c>
    </row>
    <row r="28" spans="1:15" x14ac:dyDescent="0.35">
      <c r="A28" s="6" t="s">
        <v>463</v>
      </c>
      <c r="B28" s="6" t="s">
        <v>464</v>
      </c>
      <c r="C28" s="87">
        <v>3550</v>
      </c>
      <c r="D28" s="16" t="s">
        <v>50</v>
      </c>
      <c r="E28" s="17" t="s">
        <v>5</v>
      </c>
      <c r="F28" s="13">
        <v>109</v>
      </c>
      <c r="G28" s="13">
        <v>19</v>
      </c>
      <c r="H28" s="13">
        <v>3</v>
      </c>
      <c r="I28" s="13">
        <v>3</v>
      </c>
      <c r="J28" s="15">
        <v>0</v>
      </c>
    </row>
    <row r="29" spans="1:15" x14ac:dyDescent="0.35">
      <c r="A29" s="73"/>
      <c r="B29" s="73"/>
      <c r="C29" s="83"/>
      <c r="D29" s="16" t="s">
        <v>50</v>
      </c>
      <c r="E29" s="17" t="s">
        <v>6</v>
      </c>
      <c r="F29" s="13">
        <v>200</v>
      </c>
      <c r="G29" s="13">
        <v>34</v>
      </c>
      <c r="H29" s="15">
        <v>0</v>
      </c>
      <c r="I29" s="13">
        <v>5</v>
      </c>
      <c r="J29" s="13">
        <v>2</v>
      </c>
    </row>
    <row r="30" spans="1:15" x14ac:dyDescent="0.35">
      <c r="A30" s="73"/>
      <c r="B30" s="73"/>
      <c r="C30" s="83"/>
      <c r="D30" s="16" t="s">
        <v>50</v>
      </c>
      <c r="E30" s="17" t="s">
        <v>7</v>
      </c>
      <c r="F30" s="13">
        <v>185</v>
      </c>
      <c r="G30" s="13">
        <v>40</v>
      </c>
      <c r="H30" s="13">
        <v>5</v>
      </c>
      <c r="I30" s="13">
        <v>6</v>
      </c>
      <c r="J30" s="15">
        <v>4</v>
      </c>
      <c r="K30" s="2">
        <f>SUM(F28:F30)</f>
        <v>494</v>
      </c>
      <c r="L30" s="2">
        <f t="shared" ref="L30:O30" si="2">SUM(G28:G30)</f>
        <v>93</v>
      </c>
      <c r="M30" s="2">
        <f t="shared" si="2"/>
        <v>8</v>
      </c>
      <c r="N30" s="2">
        <f t="shared" si="2"/>
        <v>14</v>
      </c>
      <c r="O30" s="2">
        <f t="shared" si="2"/>
        <v>6</v>
      </c>
    </row>
    <row r="31" spans="1:15" x14ac:dyDescent="0.35">
      <c r="A31" s="3" t="s">
        <v>465</v>
      </c>
      <c r="B31" s="3" t="s">
        <v>466</v>
      </c>
      <c r="C31" s="88">
        <v>2236</v>
      </c>
      <c r="D31" s="16" t="s">
        <v>51</v>
      </c>
      <c r="E31" s="17" t="s">
        <v>17</v>
      </c>
      <c r="F31" s="12">
        <v>146</v>
      </c>
      <c r="G31" s="12">
        <v>31</v>
      </c>
      <c r="H31" s="12">
        <v>3</v>
      </c>
      <c r="I31" s="14">
        <v>1</v>
      </c>
      <c r="J31" s="14">
        <v>0</v>
      </c>
    </row>
    <row r="32" spans="1:15" x14ac:dyDescent="0.35">
      <c r="A32" s="79"/>
      <c r="B32" s="79"/>
      <c r="C32" s="84"/>
      <c r="D32" s="16" t="s">
        <v>51</v>
      </c>
      <c r="E32" s="17" t="s">
        <v>2</v>
      </c>
      <c r="F32" s="12">
        <v>229</v>
      </c>
      <c r="G32" s="12">
        <v>34</v>
      </c>
      <c r="H32" s="12">
        <v>3</v>
      </c>
      <c r="I32" s="12">
        <v>10</v>
      </c>
      <c r="J32" s="14">
        <v>0</v>
      </c>
    </row>
    <row r="33" spans="1:15" x14ac:dyDescent="0.35">
      <c r="A33" s="79"/>
      <c r="B33" s="79"/>
      <c r="C33" s="84"/>
      <c r="D33" s="16" t="s">
        <v>51</v>
      </c>
      <c r="E33" s="17" t="s">
        <v>3</v>
      </c>
      <c r="F33" s="12">
        <v>102</v>
      </c>
      <c r="G33" s="12">
        <v>12</v>
      </c>
      <c r="H33" s="12">
        <v>2</v>
      </c>
      <c r="I33" s="12">
        <v>2</v>
      </c>
      <c r="J33" s="14">
        <v>0</v>
      </c>
    </row>
    <row r="34" spans="1:15" x14ac:dyDescent="0.35">
      <c r="A34" s="79"/>
      <c r="B34" s="79"/>
      <c r="C34" s="84"/>
      <c r="D34" s="16" t="s">
        <v>51</v>
      </c>
      <c r="E34" s="17" t="s">
        <v>4</v>
      </c>
      <c r="F34" s="12">
        <v>140</v>
      </c>
      <c r="G34" s="12">
        <v>24</v>
      </c>
      <c r="H34" s="12">
        <v>1</v>
      </c>
      <c r="I34" s="12">
        <v>4</v>
      </c>
      <c r="J34" s="14">
        <v>0</v>
      </c>
    </row>
    <row r="35" spans="1:15" x14ac:dyDescent="0.35">
      <c r="A35" s="79"/>
      <c r="B35" s="79"/>
      <c r="C35" s="84"/>
      <c r="D35" s="16" t="s">
        <v>51</v>
      </c>
      <c r="E35" s="17" t="s">
        <v>5</v>
      </c>
      <c r="F35" s="12">
        <v>212</v>
      </c>
      <c r="G35" s="12">
        <v>33</v>
      </c>
      <c r="H35" s="12">
        <v>1</v>
      </c>
      <c r="I35" s="12">
        <v>3</v>
      </c>
      <c r="J35" s="12">
        <v>2</v>
      </c>
    </row>
    <row r="36" spans="1:15" x14ac:dyDescent="0.35">
      <c r="A36" s="79"/>
      <c r="B36" s="79"/>
      <c r="C36" s="84"/>
      <c r="D36" s="16" t="s">
        <v>51</v>
      </c>
      <c r="E36" s="17" t="s">
        <v>6</v>
      </c>
      <c r="F36" s="12">
        <v>122</v>
      </c>
      <c r="G36" s="12">
        <v>96</v>
      </c>
      <c r="H36" s="12">
        <v>8</v>
      </c>
      <c r="I36" s="12">
        <v>12</v>
      </c>
      <c r="J36" s="14">
        <v>0</v>
      </c>
    </row>
    <row r="37" spans="1:15" x14ac:dyDescent="0.35">
      <c r="A37" s="79"/>
      <c r="B37" s="79"/>
      <c r="C37" s="84"/>
      <c r="D37" s="16" t="s">
        <v>51</v>
      </c>
      <c r="E37" s="17" t="s">
        <v>7</v>
      </c>
      <c r="F37" s="12">
        <v>66</v>
      </c>
      <c r="G37" s="12">
        <v>17</v>
      </c>
      <c r="H37" s="14">
        <v>0</v>
      </c>
      <c r="I37" s="12">
        <v>3</v>
      </c>
      <c r="J37" s="14">
        <v>1</v>
      </c>
      <c r="K37" s="2">
        <f>SUM(F31:F37)</f>
        <v>1017</v>
      </c>
      <c r="L37" s="2">
        <f t="shared" ref="L37:O37" si="3">SUM(G31:G37)</f>
        <v>247</v>
      </c>
      <c r="M37" s="2">
        <f t="shared" si="3"/>
        <v>18</v>
      </c>
      <c r="N37" s="2">
        <f t="shared" si="3"/>
        <v>35</v>
      </c>
      <c r="O37" s="2">
        <f t="shared" si="3"/>
        <v>3</v>
      </c>
    </row>
    <row r="38" spans="1:15" x14ac:dyDescent="0.35">
      <c r="A38" s="6" t="s">
        <v>467</v>
      </c>
      <c r="B38" s="6" t="s">
        <v>468</v>
      </c>
      <c r="C38" s="87">
        <v>2190</v>
      </c>
      <c r="D38" s="16" t="s">
        <v>52</v>
      </c>
      <c r="E38" s="17" t="s">
        <v>17</v>
      </c>
      <c r="F38" s="13">
        <v>96</v>
      </c>
      <c r="G38" s="13">
        <v>7</v>
      </c>
      <c r="H38" s="13">
        <v>2</v>
      </c>
      <c r="I38" s="13">
        <v>1</v>
      </c>
      <c r="J38" s="15">
        <v>0</v>
      </c>
    </row>
    <row r="39" spans="1:15" x14ac:dyDescent="0.35">
      <c r="A39" s="73"/>
      <c r="B39" s="73"/>
      <c r="C39" s="83"/>
      <c r="D39" s="16" t="s">
        <v>52</v>
      </c>
      <c r="E39" s="17" t="s">
        <v>2</v>
      </c>
      <c r="F39" s="13">
        <v>297</v>
      </c>
      <c r="G39" s="13">
        <v>34</v>
      </c>
      <c r="H39" s="13">
        <v>19</v>
      </c>
      <c r="I39" s="13">
        <v>10</v>
      </c>
      <c r="J39" s="15">
        <v>1</v>
      </c>
    </row>
    <row r="40" spans="1:15" x14ac:dyDescent="0.35">
      <c r="A40" s="73"/>
      <c r="B40" s="73"/>
      <c r="C40" s="83"/>
      <c r="D40" s="16" t="s">
        <v>52</v>
      </c>
      <c r="E40" s="17" t="s">
        <v>3</v>
      </c>
      <c r="F40" s="13">
        <v>130</v>
      </c>
      <c r="G40" s="13">
        <v>29</v>
      </c>
      <c r="H40" s="13">
        <v>2</v>
      </c>
      <c r="I40" s="13">
        <v>7</v>
      </c>
      <c r="J40" s="13">
        <v>1</v>
      </c>
    </row>
    <row r="41" spans="1:15" x14ac:dyDescent="0.35">
      <c r="A41" s="73"/>
      <c r="B41" s="73"/>
      <c r="C41" s="83"/>
      <c r="D41" s="16" t="s">
        <v>52</v>
      </c>
      <c r="E41" s="17" t="s">
        <v>4</v>
      </c>
      <c r="F41" s="13">
        <v>374</v>
      </c>
      <c r="G41" s="13">
        <v>65</v>
      </c>
      <c r="H41" s="13">
        <v>11</v>
      </c>
      <c r="I41" s="13">
        <v>10</v>
      </c>
      <c r="J41" s="15">
        <v>2</v>
      </c>
    </row>
    <row r="42" spans="1:15" x14ac:dyDescent="0.35">
      <c r="A42" s="73"/>
      <c r="B42" s="73"/>
      <c r="C42" s="83"/>
      <c r="D42" s="16" t="s">
        <v>52</v>
      </c>
      <c r="E42" s="17" t="s">
        <v>5</v>
      </c>
      <c r="F42" s="13">
        <v>32</v>
      </c>
      <c r="G42" s="13">
        <v>4</v>
      </c>
      <c r="H42" s="13">
        <v>1</v>
      </c>
      <c r="I42" s="13">
        <v>1</v>
      </c>
      <c r="J42" s="15">
        <v>0</v>
      </c>
    </row>
    <row r="43" spans="1:15" x14ac:dyDescent="0.35">
      <c r="A43" s="73"/>
      <c r="B43" s="73"/>
      <c r="C43" s="83"/>
      <c r="D43" s="16" t="s">
        <v>52</v>
      </c>
      <c r="E43" s="17" t="s">
        <v>6</v>
      </c>
      <c r="F43" s="13">
        <v>123</v>
      </c>
      <c r="G43" s="13">
        <v>23</v>
      </c>
      <c r="H43" s="15">
        <v>0</v>
      </c>
      <c r="I43" s="13">
        <v>5</v>
      </c>
      <c r="J43" s="15">
        <v>1</v>
      </c>
      <c r="K43" s="2">
        <f>SUM(F38:F43)</f>
        <v>1052</v>
      </c>
      <c r="L43" s="2">
        <f t="shared" ref="L43:O43" si="4">SUM(G38:G43)</f>
        <v>162</v>
      </c>
      <c r="M43" s="2">
        <f t="shared" si="4"/>
        <v>35</v>
      </c>
      <c r="N43" s="2">
        <f t="shared" si="4"/>
        <v>34</v>
      </c>
      <c r="O43" s="2">
        <f t="shared" si="4"/>
        <v>5</v>
      </c>
    </row>
    <row r="44" spans="1:15" x14ac:dyDescent="0.35">
      <c r="A44" s="3" t="s">
        <v>469</v>
      </c>
      <c r="B44" s="3" t="s">
        <v>470</v>
      </c>
      <c r="C44" s="88">
        <v>1763</v>
      </c>
      <c r="D44" s="16" t="s">
        <v>53</v>
      </c>
      <c r="E44" s="17" t="s">
        <v>17</v>
      </c>
      <c r="F44" s="12">
        <v>72</v>
      </c>
      <c r="G44" s="12">
        <v>57</v>
      </c>
      <c r="H44" s="12">
        <v>1</v>
      </c>
      <c r="I44" s="12">
        <v>3</v>
      </c>
      <c r="J44" s="14">
        <v>1</v>
      </c>
    </row>
    <row r="45" spans="1:15" x14ac:dyDescent="0.35">
      <c r="A45" s="79"/>
      <c r="B45" s="79"/>
      <c r="C45" s="84"/>
      <c r="D45" s="16" t="s">
        <v>53</v>
      </c>
      <c r="E45" s="17" t="s">
        <v>2</v>
      </c>
      <c r="F45" s="12">
        <v>87</v>
      </c>
      <c r="G45" s="12">
        <v>22</v>
      </c>
      <c r="H45" s="12">
        <v>4</v>
      </c>
      <c r="I45" s="12">
        <v>4</v>
      </c>
      <c r="J45" s="14">
        <v>0</v>
      </c>
    </row>
    <row r="46" spans="1:15" x14ac:dyDescent="0.35">
      <c r="A46" s="79"/>
      <c r="B46" s="79"/>
      <c r="C46" s="84"/>
      <c r="D46" s="16" t="s">
        <v>53</v>
      </c>
      <c r="E46" s="17" t="s">
        <v>3</v>
      </c>
      <c r="F46" s="12">
        <v>173</v>
      </c>
      <c r="G46" s="12">
        <v>26</v>
      </c>
      <c r="H46" s="12">
        <v>10</v>
      </c>
      <c r="I46" s="12">
        <v>8</v>
      </c>
      <c r="J46" s="14">
        <v>0</v>
      </c>
    </row>
    <row r="47" spans="1:15" x14ac:dyDescent="0.35">
      <c r="A47" s="79"/>
      <c r="B47" s="79"/>
      <c r="C47" s="84"/>
      <c r="D47" s="16" t="s">
        <v>53</v>
      </c>
      <c r="E47" s="17" t="s">
        <v>4</v>
      </c>
      <c r="F47" s="12">
        <v>260</v>
      </c>
      <c r="G47" s="12">
        <v>46</v>
      </c>
      <c r="H47" s="12">
        <v>16</v>
      </c>
      <c r="I47" s="12">
        <v>11</v>
      </c>
      <c r="J47" s="14">
        <v>2</v>
      </c>
    </row>
    <row r="48" spans="1:15" x14ac:dyDescent="0.35">
      <c r="A48" s="79"/>
      <c r="B48" s="79"/>
      <c r="C48" s="84"/>
      <c r="D48" s="16" t="s">
        <v>53</v>
      </c>
      <c r="E48" s="17" t="s">
        <v>5</v>
      </c>
      <c r="F48" s="12">
        <v>110</v>
      </c>
      <c r="G48" s="12">
        <v>61</v>
      </c>
      <c r="H48" s="12">
        <v>7</v>
      </c>
      <c r="I48" s="12">
        <v>7</v>
      </c>
      <c r="J48" s="12">
        <v>0</v>
      </c>
    </row>
    <row r="49" spans="1:15" x14ac:dyDescent="0.35">
      <c r="A49" s="79"/>
      <c r="B49" s="79"/>
      <c r="C49" s="84"/>
      <c r="D49" s="16" t="s">
        <v>53</v>
      </c>
      <c r="E49" s="17" t="s">
        <v>6</v>
      </c>
      <c r="F49" s="12">
        <v>165</v>
      </c>
      <c r="G49" s="12">
        <v>11</v>
      </c>
      <c r="H49" s="12">
        <v>1</v>
      </c>
      <c r="I49" s="12">
        <v>1</v>
      </c>
      <c r="J49" s="14">
        <v>1</v>
      </c>
      <c r="K49" s="2">
        <f>SUM(F44:F49)</f>
        <v>867</v>
      </c>
      <c r="L49" s="2">
        <f t="shared" ref="L49:O49" si="5">SUM(G44:G49)</f>
        <v>223</v>
      </c>
      <c r="M49" s="2">
        <f t="shared" si="5"/>
        <v>39</v>
      </c>
      <c r="N49" s="2">
        <f t="shared" si="5"/>
        <v>34</v>
      </c>
      <c r="O49" s="2">
        <f t="shared" si="5"/>
        <v>4</v>
      </c>
    </row>
    <row r="50" spans="1:15" x14ac:dyDescent="0.35">
      <c r="A50" s="6" t="s">
        <v>471</v>
      </c>
      <c r="B50" s="6" t="s">
        <v>472</v>
      </c>
      <c r="C50" s="87">
        <v>1342</v>
      </c>
      <c r="D50" s="16" t="s">
        <v>54</v>
      </c>
      <c r="E50" s="17" t="s">
        <v>17</v>
      </c>
      <c r="F50" s="13">
        <v>199</v>
      </c>
      <c r="G50" s="13">
        <v>30</v>
      </c>
      <c r="H50" s="13">
        <v>4</v>
      </c>
      <c r="I50" s="13">
        <v>5</v>
      </c>
      <c r="J50" s="15">
        <v>1</v>
      </c>
    </row>
    <row r="51" spans="1:15" x14ac:dyDescent="0.35">
      <c r="A51" s="73"/>
      <c r="B51" s="73"/>
      <c r="C51" s="83"/>
      <c r="D51" s="16" t="s">
        <v>54</v>
      </c>
      <c r="E51" s="17" t="s">
        <v>2</v>
      </c>
      <c r="F51" s="13">
        <v>168</v>
      </c>
      <c r="G51" s="13">
        <v>24</v>
      </c>
      <c r="H51" s="13">
        <v>7</v>
      </c>
      <c r="I51" s="13">
        <v>8</v>
      </c>
      <c r="J51" s="15">
        <v>0</v>
      </c>
    </row>
    <row r="52" spans="1:15" x14ac:dyDescent="0.35">
      <c r="A52" s="73"/>
      <c r="B52" s="73"/>
      <c r="C52" s="83"/>
      <c r="D52" s="16" t="s">
        <v>54</v>
      </c>
      <c r="E52" s="17" t="s">
        <v>3</v>
      </c>
      <c r="F52" s="13">
        <v>94</v>
      </c>
      <c r="G52" s="13">
        <v>50</v>
      </c>
      <c r="H52" s="13">
        <v>1</v>
      </c>
      <c r="I52" s="13">
        <v>3</v>
      </c>
      <c r="J52" s="15">
        <v>0</v>
      </c>
    </row>
    <row r="53" spans="1:15" x14ac:dyDescent="0.35">
      <c r="A53" s="73"/>
      <c r="B53" s="73"/>
      <c r="C53" s="83"/>
      <c r="D53" s="16" t="s">
        <v>54</v>
      </c>
      <c r="E53" s="17" t="s">
        <v>4</v>
      </c>
      <c r="F53" s="13">
        <v>219</v>
      </c>
      <c r="G53" s="13">
        <v>22</v>
      </c>
      <c r="H53" s="13">
        <v>6</v>
      </c>
      <c r="I53" s="13">
        <v>7</v>
      </c>
      <c r="J53" s="13">
        <v>2</v>
      </c>
      <c r="K53" s="2">
        <f>SUM(F50:F53)</f>
        <v>680</v>
      </c>
      <c r="L53" s="2">
        <f t="shared" ref="L53:O53" si="6">SUM(G50:G53)</f>
        <v>126</v>
      </c>
      <c r="M53" s="2">
        <f t="shared" si="6"/>
        <v>18</v>
      </c>
      <c r="N53" s="2">
        <f t="shared" si="6"/>
        <v>23</v>
      </c>
      <c r="O53" s="2">
        <f t="shared" si="6"/>
        <v>3</v>
      </c>
    </row>
    <row r="54" spans="1:15" x14ac:dyDescent="0.35">
      <c r="A54" s="3" t="s">
        <v>473</v>
      </c>
      <c r="B54" s="3" t="s">
        <v>474</v>
      </c>
      <c r="C54" s="88">
        <v>1082</v>
      </c>
      <c r="D54" s="16" t="s">
        <v>55</v>
      </c>
      <c r="E54" s="17" t="s">
        <v>17</v>
      </c>
      <c r="F54" s="12">
        <v>79</v>
      </c>
      <c r="G54" s="12">
        <v>19</v>
      </c>
      <c r="H54" s="14">
        <v>0</v>
      </c>
      <c r="I54" s="14">
        <v>0</v>
      </c>
      <c r="J54" s="14">
        <v>0</v>
      </c>
    </row>
    <row r="55" spans="1:15" x14ac:dyDescent="0.35">
      <c r="A55" s="79"/>
      <c r="B55" s="79"/>
      <c r="C55" s="84"/>
      <c r="D55" s="16" t="s">
        <v>55</v>
      </c>
      <c r="E55" s="17" t="s">
        <v>2</v>
      </c>
      <c r="F55" s="12">
        <v>50</v>
      </c>
      <c r="G55" s="12">
        <v>22</v>
      </c>
      <c r="H55" s="14">
        <v>0</v>
      </c>
      <c r="I55" s="14">
        <v>0</v>
      </c>
      <c r="J55" s="14">
        <v>0</v>
      </c>
    </row>
    <row r="56" spans="1:15" x14ac:dyDescent="0.35">
      <c r="A56" s="79"/>
      <c r="B56" s="79"/>
      <c r="C56" s="84"/>
      <c r="D56" s="16" t="s">
        <v>55</v>
      </c>
      <c r="E56" s="17" t="s">
        <v>3</v>
      </c>
      <c r="F56" s="12">
        <v>105</v>
      </c>
      <c r="G56" s="12">
        <v>41</v>
      </c>
      <c r="H56" s="12">
        <v>4</v>
      </c>
      <c r="I56" s="12">
        <v>3</v>
      </c>
      <c r="J56" s="14">
        <v>0</v>
      </c>
    </row>
    <row r="57" spans="1:15" x14ac:dyDescent="0.35">
      <c r="A57" s="79"/>
      <c r="B57" s="79"/>
      <c r="C57" s="84"/>
      <c r="D57" s="16" t="s">
        <v>55</v>
      </c>
      <c r="E57" s="17" t="s">
        <v>4</v>
      </c>
      <c r="F57" s="12">
        <v>36</v>
      </c>
      <c r="G57" s="12">
        <v>10</v>
      </c>
      <c r="H57" s="14">
        <v>0</v>
      </c>
      <c r="I57" s="12">
        <v>1</v>
      </c>
      <c r="J57" s="14">
        <v>0</v>
      </c>
    </row>
    <row r="58" spans="1:15" x14ac:dyDescent="0.35">
      <c r="A58" s="79"/>
      <c r="B58" s="79"/>
      <c r="C58" s="84"/>
      <c r="D58" s="16" t="s">
        <v>55</v>
      </c>
      <c r="E58" s="17" t="s">
        <v>5</v>
      </c>
      <c r="F58" s="12">
        <v>111</v>
      </c>
      <c r="G58" s="12">
        <v>64</v>
      </c>
      <c r="H58" s="12">
        <v>6</v>
      </c>
      <c r="I58" s="12">
        <v>6</v>
      </c>
      <c r="J58" s="14">
        <v>1</v>
      </c>
    </row>
    <row r="59" spans="1:15" x14ac:dyDescent="0.35">
      <c r="A59" s="79"/>
      <c r="B59" s="79"/>
      <c r="C59" s="84"/>
      <c r="D59" s="16" t="s">
        <v>55</v>
      </c>
      <c r="E59" s="17" t="s">
        <v>6</v>
      </c>
      <c r="F59" s="12">
        <v>127</v>
      </c>
      <c r="G59" s="12">
        <v>34</v>
      </c>
      <c r="H59" s="12">
        <v>6</v>
      </c>
      <c r="I59" s="12">
        <v>8</v>
      </c>
      <c r="J59" s="14">
        <v>1</v>
      </c>
      <c r="K59" s="2">
        <f>SUM(F54:F59)</f>
        <v>508</v>
      </c>
      <c r="L59" s="2">
        <f t="shared" ref="L59:O59" si="7">SUM(G54:G59)</f>
        <v>190</v>
      </c>
      <c r="M59" s="2">
        <f t="shared" si="7"/>
        <v>16</v>
      </c>
      <c r="N59" s="2">
        <f t="shared" si="7"/>
        <v>18</v>
      </c>
      <c r="O59" s="2">
        <f t="shared" si="7"/>
        <v>2</v>
      </c>
    </row>
    <row r="60" spans="1:15" x14ac:dyDescent="0.35">
      <c r="A60" s="6" t="s">
        <v>475</v>
      </c>
      <c r="B60" s="6" t="s">
        <v>476</v>
      </c>
      <c r="C60" s="87">
        <v>1313</v>
      </c>
      <c r="D60" s="16" t="s">
        <v>56</v>
      </c>
      <c r="E60" s="17" t="s">
        <v>17</v>
      </c>
      <c r="F60" s="13">
        <v>147</v>
      </c>
      <c r="G60" s="13">
        <v>54</v>
      </c>
      <c r="H60" s="13">
        <v>3</v>
      </c>
      <c r="I60" s="13">
        <v>3</v>
      </c>
      <c r="J60" s="15">
        <v>0</v>
      </c>
    </row>
    <row r="61" spans="1:15" x14ac:dyDescent="0.35">
      <c r="A61" s="73"/>
      <c r="B61" s="73"/>
      <c r="C61" s="83"/>
      <c r="D61" s="16" t="s">
        <v>56</v>
      </c>
      <c r="E61" s="17" t="s">
        <v>2</v>
      </c>
      <c r="F61" s="13">
        <v>36</v>
      </c>
      <c r="G61" s="13">
        <v>4</v>
      </c>
      <c r="H61" s="15">
        <v>0</v>
      </c>
      <c r="I61" s="13">
        <v>2</v>
      </c>
      <c r="J61" s="15">
        <v>0</v>
      </c>
    </row>
    <row r="62" spans="1:15" x14ac:dyDescent="0.35">
      <c r="A62" s="73"/>
      <c r="B62" s="73"/>
      <c r="C62" s="83"/>
      <c r="D62" s="16" t="s">
        <v>56</v>
      </c>
      <c r="E62" s="17" t="s">
        <v>3</v>
      </c>
      <c r="F62" s="13">
        <v>191</v>
      </c>
      <c r="G62" s="13">
        <v>27</v>
      </c>
      <c r="H62" s="13">
        <v>3</v>
      </c>
      <c r="I62" s="13">
        <v>5</v>
      </c>
      <c r="J62" s="15">
        <v>1</v>
      </c>
    </row>
    <row r="63" spans="1:15" x14ac:dyDescent="0.35">
      <c r="A63" s="73"/>
      <c r="B63" s="73"/>
      <c r="C63" s="83"/>
      <c r="D63" s="16" t="s">
        <v>56</v>
      </c>
      <c r="E63" s="17" t="s">
        <v>4</v>
      </c>
      <c r="F63" s="13">
        <v>130</v>
      </c>
      <c r="G63" s="13">
        <v>22</v>
      </c>
      <c r="H63" s="15">
        <v>0</v>
      </c>
      <c r="I63" s="13">
        <v>1</v>
      </c>
      <c r="J63" s="15">
        <v>2</v>
      </c>
    </row>
    <row r="64" spans="1:15" x14ac:dyDescent="0.35">
      <c r="A64" s="73"/>
      <c r="B64" s="73"/>
      <c r="C64" s="83"/>
      <c r="D64" s="16" t="s">
        <v>56</v>
      </c>
      <c r="E64" s="17" t="s">
        <v>5</v>
      </c>
      <c r="F64" s="13">
        <v>117</v>
      </c>
      <c r="G64" s="13">
        <v>12</v>
      </c>
      <c r="H64" s="13">
        <v>3</v>
      </c>
      <c r="I64" s="15">
        <v>0</v>
      </c>
      <c r="J64" s="15">
        <v>0</v>
      </c>
      <c r="K64" s="2">
        <f>SUM(F60:F64)</f>
        <v>621</v>
      </c>
      <c r="L64" s="2">
        <f t="shared" ref="L64:O64" si="8">SUM(G60:G64)</f>
        <v>119</v>
      </c>
      <c r="M64" s="2">
        <f t="shared" si="8"/>
        <v>9</v>
      </c>
      <c r="N64" s="2">
        <f t="shared" si="8"/>
        <v>11</v>
      </c>
      <c r="O64" s="2">
        <f t="shared" si="8"/>
        <v>3</v>
      </c>
    </row>
    <row r="65" spans="1:15" x14ac:dyDescent="0.35">
      <c r="A65" s="3" t="s">
        <v>477</v>
      </c>
      <c r="B65" s="3" t="s">
        <v>478</v>
      </c>
      <c r="C65" s="88">
        <v>1329</v>
      </c>
      <c r="D65" s="16" t="s">
        <v>57</v>
      </c>
      <c r="E65" s="17" t="s">
        <v>17</v>
      </c>
      <c r="F65" s="12">
        <v>134</v>
      </c>
      <c r="G65" s="12">
        <v>42</v>
      </c>
      <c r="H65" s="12">
        <v>4</v>
      </c>
      <c r="I65" s="12">
        <v>9</v>
      </c>
      <c r="J65" s="14">
        <v>1</v>
      </c>
    </row>
    <row r="66" spans="1:15" x14ac:dyDescent="0.35">
      <c r="A66" s="79"/>
      <c r="B66" s="79"/>
      <c r="C66" s="84"/>
      <c r="D66" s="16" t="s">
        <v>57</v>
      </c>
      <c r="E66" s="17" t="s">
        <v>2</v>
      </c>
      <c r="F66" s="12">
        <v>87</v>
      </c>
      <c r="G66" s="12">
        <v>30</v>
      </c>
      <c r="H66" s="12">
        <v>5</v>
      </c>
      <c r="I66" s="12">
        <v>3</v>
      </c>
      <c r="J66" s="14">
        <v>0</v>
      </c>
    </row>
    <row r="67" spans="1:15" x14ac:dyDescent="0.35">
      <c r="A67" s="79"/>
      <c r="B67" s="79"/>
      <c r="C67" s="84"/>
      <c r="D67" s="16" t="s">
        <v>57</v>
      </c>
      <c r="E67" s="17" t="s">
        <v>3</v>
      </c>
      <c r="F67" s="12">
        <v>150</v>
      </c>
      <c r="G67" s="12">
        <v>19</v>
      </c>
      <c r="H67" s="12">
        <v>2</v>
      </c>
      <c r="I67" s="12">
        <v>10</v>
      </c>
      <c r="J67" s="14">
        <v>1</v>
      </c>
    </row>
    <row r="68" spans="1:15" x14ac:dyDescent="0.35">
      <c r="A68" s="79"/>
      <c r="B68" s="79"/>
      <c r="C68" s="84"/>
      <c r="D68" s="16" t="s">
        <v>57</v>
      </c>
      <c r="E68" s="17" t="s">
        <v>4</v>
      </c>
      <c r="F68" s="12">
        <v>211</v>
      </c>
      <c r="G68" s="12">
        <v>26</v>
      </c>
      <c r="H68" s="12">
        <v>2</v>
      </c>
      <c r="I68" s="12">
        <v>1</v>
      </c>
      <c r="J68" s="14">
        <v>0</v>
      </c>
    </row>
    <row r="69" spans="1:15" x14ac:dyDescent="0.35">
      <c r="A69" s="79"/>
      <c r="B69" s="79"/>
      <c r="C69" s="84"/>
      <c r="D69" s="16" t="s">
        <v>57</v>
      </c>
      <c r="E69" s="17" t="s">
        <v>5</v>
      </c>
      <c r="F69" s="12">
        <v>178</v>
      </c>
      <c r="G69" s="12">
        <v>26</v>
      </c>
      <c r="H69" s="14">
        <v>0</v>
      </c>
      <c r="I69" s="12">
        <v>2</v>
      </c>
      <c r="J69" s="14">
        <v>0</v>
      </c>
      <c r="K69" s="2">
        <f>SUM(F65:F69)</f>
        <v>760</v>
      </c>
      <c r="L69" s="2">
        <f t="shared" ref="L69:O69" si="9">SUM(G65:G69)</f>
        <v>143</v>
      </c>
      <c r="M69" s="2">
        <f t="shared" si="9"/>
        <v>13</v>
      </c>
      <c r="N69" s="2">
        <f t="shared" si="9"/>
        <v>25</v>
      </c>
      <c r="O69" s="2">
        <f t="shared" si="9"/>
        <v>2</v>
      </c>
    </row>
    <row r="70" spans="1:15" x14ac:dyDescent="0.35">
      <c r="A70" s="6" t="s">
        <v>457</v>
      </c>
      <c r="B70" s="6" t="s">
        <v>458</v>
      </c>
      <c r="C70" s="87">
        <v>770</v>
      </c>
      <c r="D70" s="16" t="s">
        <v>58</v>
      </c>
      <c r="E70" s="17" t="s">
        <v>17</v>
      </c>
      <c r="F70" s="13">
        <v>101</v>
      </c>
      <c r="G70" s="13">
        <v>28</v>
      </c>
      <c r="H70" s="13">
        <v>7</v>
      </c>
      <c r="I70" s="13">
        <v>5</v>
      </c>
      <c r="J70" s="13">
        <v>2</v>
      </c>
    </row>
    <row r="71" spans="1:15" x14ac:dyDescent="0.35">
      <c r="A71" s="73"/>
      <c r="B71" s="73"/>
      <c r="C71" s="83"/>
      <c r="D71" s="16" t="s">
        <v>58</v>
      </c>
      <c r="E71" s="17" t="s">
        <v>2</v>
      </c>
      <c r="F71" s="13">
        <v>170</v>
      </c>
      <c r="G71" s="13">
        <v>39</v>
      </c>
      <c r="H71" s="13">
        <v>10</v>
      </c>
      <c r="I71" s="13">
        <v>7</v>
      </c>
      <c r="J71" s="13">
        <v>1</v>
      </c>
    </row>
    <row r="72" spans="1:15" x14ac:dyDescent="0.35">
      <c r="A72" s="73"/>
      <c r="B72" s="73"/>
      <c r="C72" s="83"/>
      <c r="D72" s="16" t="s">
        <v>58</v>
      </c>
      <c r="E72" s="17" t="s">
        <v>3</v>
      </c>
      <c r="F72" s="13">
        <v>48</v>
      </c>
      <c r="G72" s="13">
        <v>5</v>
      </c>
      <c r="H72" s="13">
        <v>3</v>
      </c>
      <c r="I72" s="13">
        <v>5</v>
      </c>
      <c r="J72" s="15">
        <v>1</v>
      </c>
    </row>
    <row r="73" spans="1:15" x14ac:dyDescent="0.35">
      <c r="A73" s="73"/>
      <c r="B73" s="73"/>
      <c r="C73" s="83"/>
      <c r="D73" s="16" t="s">
        <v>58</v>
      </c>
      <c r="E73" s="17" t="s">
        <v>4</v>
      </c>
      <c r="F73" s="13">
        <v>30</v>
      </c>
      <c r="G73" s="13">
        <v>11</v>
      </c>
      <c r="H73" s="15">
        <v>0</v>
      </c>
      <c r="I73" s="13">
        <v>3</v>
      </c>
      <c r="J73" s="15">
        <v>0</v>
      </c>
      <c r="K73" s="2">
        <f>SUM(F70:F73)</f>
        <v>349</v>
      </c>
      <c r="L73" s="2">
        <f t="shared" ref="L73:O73" si="10">SUM(G70:G73)</f>
        <v>83</v>
      </c>
      <c r="M73" s="2">
        <f t="shared" si="10"/>
        <v>20</v>
      </c>
      <c r="N73" s="2">
        <f t="shared" si="10"/>
        <v>20</v>
      </c>
      <c r="O73" s="2">
        <f t="shared" si="10"/>
        <v>4</v>
      </c>
    </row>
    <row r="74" spans="1:15" x14ac:dyDescent="0.35">
      <c r="A74" s="3" t="s">
        <v>479</v>
      </c>
      <c r="B74" s="3" t="s">
        <v>480</v>
      </c>
      <c r="C74" s="88">
        <v>1171</v>
      </c>
      <c r="D74" s="16" t="s">
        <v>59</v>
      </c>
      <c r="E74" s="17" t="s">
        <v>17</v>
      </c>
      <c r="F74" s="12">
        <v>91</v>
      </c>
      <c r="G74" s="12">
        <v>31</v>
      </c>
      <c r="H74" s="12">
        <v>1</v>
      </c>
      <c r="I74" s="12">
        <v>7</v>
      </c>
      <c r="J74" s="14">
        <v>0</v>
      </c>
    </row>
    <row r="75" spans="1:15" x14ac:dyDescent="0.35">
      <c r="A75" s="79"/>
      <c r="B75" s="79"/>
      <c r="C75" s="84"/>
      <c r="D75" s="16" t="s">
        <v>59</v>
      </c>
      <c r="E75" s="17" t="s">
        <v>2</v>
      </c>
      <c r="F75" s="12">
        <v>74</v>
      </c>
      <c r="G75" s="12">
        <v>6</v>
      </c>
      <c r="H75" s="14">
        <v>0</v>
      </c>
      <c r="I75" s="12">
        <v>3</v>
      </c>
      <c r="J75" s="14">
        <v>0</v>
      </c>
    </row>
    <row r="76" spans="1:15" x14ac:dyDescent="0.35">
      <c r="A76" s="79"/>
      <c r="B76" s="79"/>
      <c r="C76" s="84"/>
      <c r="D76" s="16" t="s">
        <v>59</v>
      </c>
      <c r="E76" s="17" t="s">
        <v>3</v>
      </c>
      <c r="F76" s="12">
        <v>63</v>
      </c>
      <c r="G76" s="12">
        <v>11</v>
      </c>
      <c r="H76" s="14">
        <v>0</v>
      </c>
      <c r="I76" s="12">
        <v>3</v>
      </c>
      <c r="J76" s="14">
        <v>0</v>
      </c>
    </row>
    <row r="77" spans="1:15" x14ac:dyDescent="0.35">
      <c r="A77" s="79"/>
      <c r="B77" s="79"/>
      <c r="C77" s="84"/>
      <c r="D77" s="16" t="s">
        <v>59</v>
      </c>
      <c r="E77" s="17" t="s">
        <v>4</v>
      </c>
      <c r="F77" s="12">
        <v>77</v>
      </c>
      <c r="G77" s="12">
        <v>34</v>
      </c>
      <c r="H77" s="12">
        <v>3</v>
      </c>
      <c r="I77" s="14">
        <v>0</v>
      </c>
      <c r="J77" s="14">
        <v>1</v>
      </c>
    </row>
    <row r="78" spans="1:15" x14ac:dyDescent="0.35">
      <c r="A78" s="79"/>
      <c r="B78" s="79"/>
      <c r="C78" s="84"/>
      <c r="D78" s="16" t="s">
        <v>59</v>
      </c>
      <c r="E78" s="17" t="s">
        <v>5</v>
      </c>
      <c r="F78" s="12">
        <v>142</v>
      </c>
      <c r="G78" s="12">
        <v>42</v>
      </c>
      <c r="H78" s="12">
        <v>5</v>
      </c>
      <c r="I78" s="12">
        <v>2</v>
      </c>
      <c r="J78" s="14">
        <v>0</v>
      </c>
    </row>
    <row r="79" spans="1:15" x14ac:dyDescent="0.35">
      <c r="A79" s="79"/>
      <c r="B79" s="79"/>
      <c r="C79" s="84"/>
      <c r="D79" s="16" t="s">
        <v>59</v>
      </c>
      <c r="E79" s="17" t="s">
        <v>6</v>
      </c>
      <c r="F79" s="12">
        <v>70</v>
      </c>
      <c r="G79" s="12">
        <v>26</v>
      </c>
      <c r="H79" s="14">
        <v>0</v>
      </c>
      <c r="I79" s="12">
        <v>5</v>
      </c>
      <c r="J79" s="14">
        <v>0</v>
      </c>
    </row>
    <row r="80" spans="1:15" x14ac:dyDescent="0.35">
      <c r="A80" s="79"/>
      <c r="B80" s="79"/>
      <c r="C80" s="84"/>
      <c r="D80" s="16" t="s">
        <v>59</v>
      </c>
      <c r="E80" s="17" t="s">
        <v>7</v>
      </c>
      <c r="F80" s="12">
        <v>61</v>
      </c>
      <c r="G80" s="12">
        <v>25</v>
      </c>
      <c r="H80" s="12">
        <v>1</v>
      </c>
      <c r="I80" s="12">
        <v>2</v>
      </c>
      <c r="J80" s="14">
        <v>0</v>
      </c>
      <c r="K80" s="2">
        <f>SUM(F74:F80)</f>
        <v>578</v>
      </c>
      <c r="L80" s="2">
        <f t="shared" ref="L80:O80" si="11">SUM(G74:G80)</f>
        <v>175</v>
      </c>
      <c r="M80" s="2">
        <f t="shared" si="11"/>
        <v>10</v>
      </c>
      <c r="N80" s="2">
        <f t="shared" si="11"/>
        <v>22</v>
      </c>
      <c r="O80" s="2">
        <f t="shared" si="11"/>
        <v>1</v>
      </c>
    </row>
    <row r="81" spans="1:10" x14ac:dyDescent="0.35">
      <c r="A81" s="80"/>
      <c r="B81" s="80" t="s">
        <v>721</v>
      </c>
      <c r="C81" s="85">
        <f>SUM(C5:C74)</f>
        <v>22466</v>
      </c>
      <c r="D81" s="335" t="s">
        <v>229</v>
      </c>
      <c r="E81" s="335"/>
      <c r="F81" s="20">
        <f>SUM(F5:F80)</f>
        <v>10189</v>
      </c>
      <c r="G81" s="20">
        <f>SUM(G5:G80)</f>
        <v>2757</v>
      </c>
      <c r="H81" s="20">
        <f>SUM(H5:H80)</f>
        <v>349</v>
      </c>
      <c r="I81" s="20">
        <f>SUM(I5:I80)</f>
        <v>393</v>
      </c>
      <c r="J81" s="20">
        <f>SUM(J5:J80)</f>
        <v>60</v>
      </c>
    </row>
    <row r="82" spans="1:10" x14ac:dyDescent="0.35">
      <c r="B82" s="18" t="s">
        <v>724</v>
      </c>
      <c r="C82" s="89">
        <f>SUM(C81,F81,G81,H81,I81,J81)</f>
        <v>36214</v>
      </c>
    </row>
  </sheetData>
  <mergeCells count="6">
    <mergeCell ref="D1:J1"/>
    <mergeCell ref="D2:J2"/>
    <mergeCell ref="D81:E81"/>
    <mergeCell ref="F3:J3"/>
    <mergeCell ref="A1:C1"/>
    <mergeCell ref="A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5"/>
  <sheetViews>
    <sheetView workbookViewId="0">
      <selection sqref="A1:C1"/>
    </sheetView>
  </sheetViews>
  <sheetFormatPr defaultRowHeight="21" x14ac:dyDescent="0.35"/>
  <cols>
    <col min="1" max="1" width="14.140625" style="2" customWidth="1"/>
    <col min="2" max="2" width="29.5703125" style="2" customWidth="1"/>
    <col min="3" max="3" width="18.5703125" style="2" customWidth="1"/>
    <col min="4" max="4" width="16.140625" style="2" customWidth="1"/>
    <col min="5" max="5" width="9.140625" style="22"/>
    <col min="6" max="6" width="14.140625" style="22" customWidth="1"/>
    <col min="7" max="7" width="14.5703125" style="22" customWidth="1"/>
    <col min="8" max="8" width="9.140625" style="22"/>
    <col min="9" max="9" width="20.28515625" style="22" customWidth="1"/>
    <col min="10" max="10" width="15.7109375" style="22" customWidth="1"/>
    <col min="11" max="16384" width="9.140625" style="2"/>
  </cols>
  <sheetData>
    <row r="1" spans="1:10" x14ac:dyDescent="0.35">
      <c r="A1" s="334" t="s">
        <v>725</v>
      </c>
      <c r="B1" s="334"/>
      <c r="C1" s="334"/>
      <c r="D1" s="330" t="s">
        <v>247</v>
      </c>
      <c r="E1" s="330"/>
      <c r="F1" s="330"/>
      <c r="G1" s="330"/>
      <c r="H1" s="330"/>
      <c r="I1" s="330"/>
      <c r="J1" s="330"/>
    </row>
    <row r="2" spans="1:10" x14ac:dyDescent="0.35">
      <c r="A2" s="334" t="s">
        <v>861</v>
      </c>
      <c r="B2" s="334"/>
      <c r="C2" s="334"/>
      <c r="D2" s="330" t="s">
        <v>862</v>
      </c>
      <c r="E2" s="330"/>
      <c r="F2" s="330"/>
      <c r="G2" s="330"/>
      <c r="H2" s="330"/>
      <c r="I2" s="330"/>
      <c r="J2" s="330"/>
    </row>
    <row r="3" spans="1:10" x14ac:dyDescent="0.35">
      <c r="D3" s="44"/>
      <c r="E3" s="44"/>
      <c r="F3" s="335" t="s">
        <v>716</v>
      </c>
      <c r="G3" s="335"/>
      <c r="H3" s="335"/>
      <c r="I3" s="335"/>
      <c r="J3" s="335"/>
    </row>
    <row r="4" spans="1:10" x14ac:dyDescent="0.35">
      <c r="A4" s="85" t="s">
        <v>714</v>
      </c>
      <c r="B4" s="85" t="s">
        <v>254</v>
      </c>
      <c r="C4" s="86" t="s">
        <v>715</v>
      </c>
      <c r="D4" s="18" t="s">
        <v>223</v>
      </c>
      <c r="E4" s="19" t="s">
        <v>222</v>
      </c>
      <c r="F4" s="19" t="s">
        <v>218</v>
      </c>
      <c r="G4" s="19" t="s">
        <v>219</v>
      </c>
      <c r="H4" s="19" t="s">
        <v>220</v>
      </c>
      <c r="I4" s="19" t="s">
        <v>238</v>
      </c>
      <c r="J4" s="19" t="s">
        <v>221</v>
      </c>
    </row>
    <row r="5" spans="1:10" x14ac:dyDescent="0.35">
      <c r="A5" s="6" t="s">
        <v>487</v>
      </c>
      <c r="B5" s="6" t="s">
        <v>488</v>
      </c>
      <c r="C5" s="6">
        <v>3161</v>
      </c>
      <c r="D5" s="16" t="s">
        <v>60</v>
      </c>
      <c r="E5" s="17" t="s">
        <v>0</v>
      </c>
      <c r="F5" s="13">
        <v>3</v>
      </c>
      <c r="G5" s="15">
        <v>0</v>
      </c>
      <c r="H5" s="15">
        <v>0</v>
      </c>
      <c r="I5" s="15">
        <v>0</v>
      </c>
      <c r="J5" s="13">
        <v>3</v>
      </c>
    </row>
    <row r="6" spans="1:10" x14ac:dyDescent="0.35">
      <c r="A6" s="73"/>
      <c r="B6" s="73"/>
      <c r="C6" s="73"/>
      <c r="D6" s="16" t="s">
        <v>60</v>
      </c>
      <c r="E6" s="17" t="s">
        <v>17</v>
      </c>
      <c r="F6" s="13">
        <v>122</v>
      </c>
      <c r="G6" s="13">
        <v>31</v>
      </c>
      <c r="H6" s="13">
        <v>3</v>
      </c>
      <c r="I6" s="13">
        <v>2</v>
      </c>
      <c r="J6" s="13">
        <v>0</v>
      </c>
    </row>
    <row r="7" spans="1:10" x14ac:dyDescent="0.35">
      <c r="A7" s="73"/>
      <c r="B7" s="73"/>
      <c r="C7" s="73"/>
      <c r="D7" s="16" t="s">
        <v>60</v>
      </c>
      <c r="E7" s="17" t="s">
        <v>2</v>
      </c>
      <c r="F7" s="13">
        <v>121</v>
      </c>
      <c r="G7" s="13">
        <v>54</v>
      </c>
      <c r="H7" s="13">
        <v>2</v>
      </c>
      <c r="I7" s="13">
        <v>6</v>
      </c>
      <c r="J7" s="15">
        <v>0</v>
      </c>
    </row>
    <row r="8" spans="1:10" x14ac:dyDescent="0.35">
      <c r="A8" s="73"/>
      <c r="B8" s="73"/>
      <c r="C8" s="73"/>
      <c r="D8" s="16" t="s">
        <v>60</v>
      </c>
      <c r="E8" s="17" t="s">
        <v>3</v>
      </c>
      <c r="F8" s="13">
        <v>150</v>
      </c>
      <c r="G8" s="13">
        <v>51</v>
      </c>
      <c r="H8" s="13">
        <v>11</v>
      </c>
      <c r="I8" s="13">
        <v>4</v>
      </c>
      <c r="J8" s="15">
        <v>0</v>
      </c>
    </row>
    <row r="9" spans="1:10" x14ac:dyDescent="0.35">
      <c r="A9" s="73"/>
      <c r="B9" s="73"/>
      <c r="C9" s="73"/>
      <c r="D9" s="16" t="s">
        <v>60</v>
      </c>
      <c r="E9" s="17" t="s">
        <v>4</v>
      </c>
      <c r="F9" s="13">
        <v>80</v>
      </c>
      <c r="G9" s="13">
        <v>128</v>
      </c>
      <c r="H9" s="13">
        <v>19</v>
      </c>
      <c r="I9" s="13">
        <v>12</v>
      </c>
      <c r="J9" s="15">
        <v>0</v>
      </c>
    </row>
    <row r="10" spans="1:10" x14ac:dyDescent="0.35">
      <c r="A10" s="73"/>
      <c r="B10" s="73"/>
      <c r="C10" s="73"/>
      <c r="D10" s="16" t="s">
        <v>60</v>
      </c>
      <c r="E10" s="17" t="s">
        <v>5</v>
      </c>
      <c r="F10" s="13">
        <v>43</v>
      </c>
      <c r="G10" s="13">
        <v>24</v>
      </c>
      <c r="H10" s="13">
        <v>6</v>
      </c>
      <c r="I10" s="13">
        <v>5</v>
      </c>
      <c r="J10" s="15">
        <v>1</v>
      </c>
    </row>
    <row r="11" spans="1:10" x14ac:dyDescent="0.35">
      <c r="A11" s="73"/>
      <c r="B11" s="73"/>
      <c r="C11" s="73"/>
      <c r="D11" s="16" t="s">
        <v>60</v>
      </c>
      <c r="E11" s="17" t="s">
        <v>6</v>
      </c>
      <c r="F11" s="13">
        <v>62</v>
      </c>
      <c r="G11" s="13">
        <v>12</v>
      </c>
      <c r="H11" s="13">
        <v>6</v>
      </c>
      <c r="I11" s="13">
        <v>1</v>
      </c>
      <c r="J11" s="15">
        <v>0</v>
      </c>
    </row>
    <row r="12" spans="1:10" x14ac:dyDescent="0.35">
      <c r="A12" s="73"/>
      <c r="B12" s="73"/>
      <c r="C12" s="73"/>
      <c r="D12" s="16" t="s">
        <v>60</v>
      </c>
      <c r="E12" s="17" t="s">
        <v>7</v>
      </c>
      <c r="F12" s="13">
        <v>52</v>
      </c>
      <c r="G12" s="13">
        <v>12</v>
      </c>
      <c r="H12" s="13">
        <v>2</v>
      </c>
      <c r="I12" s="13">
        <v>3</v>
      </c>
      <c r="J12" s="15">
        <v>0</v>
      </c>
    </row>
    <row r="13" spans="1:10" x14ac:dyDescent="0.35">
      <c r="A13" s="73"/>
      <c r="B13" s="73"/>
      <c r="C13" s="73"/>
      <c r="D13" s="16" t="s">
        <v>60</v>
      </c>
      <c r="E13" s="17" t="s">
        <v>8</v>
      </c>
      <c r="F13" s="13">
        <v>212</v>
      </c>
      <c r="G13" s="13">
        <v>51</v>
      </c>
      <c r="H13" s="13">
        <v>2</v>
      </c>
      <c r="I13" s="13">
        <v>8</v>
      </c>
      <c r="J13" s="15">
        <v>1</v>
      </c>
    </row>
    <row r="14" spans="1:10" x14ac:dyDescent="0.35">
      <c r="A14" s="73"/>
      <c r="B14" s="73"/>
      <c r="C14" s="73"/>
      <c r="D14" s="16" t="s">
        <v>60</v>
      </c>
      <c r="E14" s="17" t="s">
        <v>9</v>
      </c>
      <c r="F14" s="13">
        <v>157</v>
      </c>
      <c r="G14" s="13">
        <v>18</v>
      </c>
      <c r="H14" s="15">
        <v>0</v>
      </c>
      <c r="I14" s="13">
        <v>10</v>
      </c>
      <c r="J14" s="15">
        <v>2</v>
      </c>
    </row>
    <row r="15" spans="1:10" x14ac:dyDescent="0.35">
      <c r="A15" s="73"/>
      <c r="B15" s="73"/>
      <c r="C15" s="73"/>
      <c r="D15" s="16" t="s">
        <v>60</v>
      </c>
      <c r="E15" s="17" t="s">
        <v>11</v>
      </c>
      <c r="F15" s="13">
        <v>140</v>
      </c>
      <c r="G15" s="13">
        <v>79</v>
      </c>
      <c r="H15" s="13">
        <v>2</v>
      </c>
      <c r="I15" s="13">
        <v>70</v>
      </c>
      <c r="J15" s="15">
        <v>2</v>
      </c>
    </row>
    <row r="16" spans="1:10" x14ac:dyDescent="0.35">
      <c r="A16" s="73"/>
      <c r="B16" s="73"/>
      <c r="C16" s="73"/>
      <c r="D16" s="16" t="s">
        <v>60</v>
      </c>
      <c r="E16" s="17" t="s">
        <v>15</v>
      </c>
      <c r="F16" s="13">
        <v>0</v>
      </c>
      <c r="G16" s="13">
        <v>0</v>
      </c>
      <c r="H16" s="15">
        <v>0</v>
      </c>
      <c r="I16" s="15">
        <v>0</v>
      </c>
      <c r="J16" s="15">
        <v>0</v>
      </c>
    </row>
    <row r="17" spans="1:15" x14ac:dyDescent="0.35">
      <c r="A17" s="3" t="s">
        <v>351</v>
      </c>
      <c r="B17" s="3" t="s">
        <v>352</v>
      </c>
      <c r="C17" s="3">
        <v>1805</v>
      </c>
      <c r="D17" s="16" t="s">
        <v>61</v>
      </c>
      <c r="E17" s="17" t="s">
        <v>17</v>
      </c>
      <c r="F17" s="12">
        <v>51</v>
      </c>
      <c r="G17" s="12">
        <v>13</v>
      </c>
      <c r="H17" s="12">
        <v>3</v>
      </c>
      <c r="I17" s="12">
        <v>2</v>
      </c>
      <c r="J17" s="14">
        <v>0</v>
      </c>
    </row>
    <row r="18" spans="1:15" x14ac:dyDescent="0.35">
      <c r="A18" s="79"/>
      <c r="B18" s="79"/>
      <c r="C18" s="79"/>
      <c r="D18" s="16" t="s">
        <v>61</v>
      </c>
      <c r="E18" s="17" t="s">
        <v>2</v>
      </c>
      <c r="F18" s="12">
        <v>164</v>
      </c>
      <c r="G18" s="12">
        <v>29</v>
      </c>
      <c r="H18" s="14">
        <v>1</v>
      </c>
      <c r="I18" s="12">
        <v>3</v>
      </c>
      <c r="J18" s="14">
        <v>0</v>
      </c>
    </row>
    <row r="19" spans="1:15" x14ac:dyDescent="0.35">
      <c r="A19" s="79"/>
      <c r="B19" s="79"/>
      <c r="C19" s="79"/>
      <c r="D19" s="16" t="s">
        <v>61</v>
      </c>
      <c r="E19" s="17" t="s">
        <v>3</v>
      </c>
      <c r="F19" s="12">
        <v>174</v>
      </c>
      <c r="G19" s="12">
        <v>16</v>
      </c>
      <c r="H19" s="12">
        <v>6</v>
      </c>
      <c r="I19" s="12">
        <v>7</v>
      </c>
      <c r="J19" s="14">
        <v>0</v>
      </c>
    </row>
    <row r="20" spans="1:15" x14ac:dyDescent="0.35">
      <c r="A20" s="79"/>
      <c r="B20" s="79"/>
      <c r="C20" s="79"/>
      <c r="D20" s="16" t="s">
        <v>61</v>
      </c>
      <c r="E20" s="17" t="s">
        <v>4</v>
      </c>
      <c r="F20" s="12">
        <v>126</v>
      </c>
      <c r="G20" s="12">
        <v>15</v>
      </c>
      <c r="H20" s="12">
        <v>2</v>
      </c>
      <c r="I20" s="12">
        <v>6</v>
      </c>
      <c r="J20" s="12">
        <v>1</v>
      </c>
    </row>
    <row r="21" spans="1:15" x14ac:dyDescent="0.35">
      <c r="A21" s="79"/>
      <c r="B21" s="79"/>
      <c r="C21" s="79"/>
      <c r="D21" s="16" t="s">
        <v>61</v>
      </c>
      <c r="E21" s="17" t="s">
        <v>5</v>
      </c>
      <c r="F21" s="12">
        <v>101</v>
      </c>
      <c r="G21" s="12">
        <v>12</v>
      </c>
      <c r="H21" s="14">
        <v>0</v>
      </c>
      <c r="I21" s="12">
        <v>2</v>
      </c>
      <c r="J21" s="14">
        <v>2</v>
      </c>
      <c r="K21" s="2">
        <f>SUM(F17:F21)</f>
        <v>616</v>
      </c>
      <c r="L21" s="2">
        <f t="shared" ref="L21:O21" si="0">SUM(G17:G21)</f>
        <v>85</v>
      </c>
      <c r="M21" s="2">
        <f t="shared" si="0"/>
        <v>12</v>
      </c>
      <c r="N21" s="2">
        <f t="shared" si="0"/>
        <v>20</v>
      </c>
      <c r="O21" s="2">
        <f t="shared" si="0"/>
        <v>3</v>
      </c>
    </row>
    <row r="22" spans="1:15" x14ac:dyDescent="0.35">
      <c r="A22" s="6" t="s">
        <v>489</v>
      </c>
      <c r="B22" s="6" t="s">
        <v>490</v>
      </c>
      <c r="C22" s="6">
        <v>1492</v>
      </c>
      <c r="D22" s="16" t="s">
        <v>62</v>
      </c>
      <c r="E22" s="17" t="s">
        <v>17</v>
      </c>
      <c r="F22" s="13">
        <v>201</v>
      </c>
      <c r="G22" s="13">
        <v>23</v>
      </c>
      <c r="H22" s="13">
        <v>2</v>
      </c>
      <c r="I22" s="13">
        <v>8</v>
      </c>
      <c r="J22" s="15">
        <v>2</v>
      </c>
    </row>
    <row r="23" spans="1:15" x14ac:dyDescent="0.35">
      <c r="A23" s="73"/>
      <c r="B23" s="73"/>
      <c r="C23" s="73"/>
      <c r="D23" s="16" t="s">
        <v>62</v>
      </c>
      <c r="E23" s="17" t="s">
        <v>2</v>
      </c>
      <c r="F23" s="13">
        <v>145</v>
      </c>
      <c r="G23" s="13">
        <v>7</v>
      </c>
      <c r="H23" s="13">
        <v>4</v>
      </c>
      <c r="I23" s="13">
        <v>1</v>
      </c>
      <c r="J23" s="15">
        <v>2</v>
      </c>
    </row>
    <row r="24" spans="1:15" x14ac:dyDescent="0.35">
      <c r="A24" s="73"/>
      <c r="B24" s="73"/>
      <c r="C24" s="73"/>
      <c r="D24" s="16" t="s">
        <v>62</v>
      </c>
      <c r="E24" s="17" t="s">
        <v>3</v>
      </c>
      <c r="F24" s="13">
        <v>89</v>
      </c>
      <c r="G24" s="13">
        <v>11</v>
      </c>
      <c r="H24" s="15">
        <v>0</v>
      </c>
      <c r="I24" s="13">
        <v>2</v>
      </c>
      <c r="J24" s="15">
        <v>0</v>
      </c>
    </row>
    <row r="25" spans="1:15" x14ac:dyDescent="0.35">
      <c r="A25" s="73"/>
      <c r="B25" s="73"/>
      <c r="C25" s="73"/>
      <c r="D25" s="16" t="s">
        <v>62</v>
      </c>
      <c r="E25" s="17" t="s">
        <v>4</v>
      </c>
      <c r="F25" s="13">
        <v>64</v>
      </c>
      <c r="G25" s="13">
        <v>1</v>
      </c>
      <c r="H25" s="13">
        <v>2</v>
      </c>
      <c r="I25" s="13">
        <v>2</v>
      </c>
      <c r="J25" s="15">
        <v>0</v>
      </c>
    </row>
    <row r="26" spans="1:15" x14ac:dyDescent="0.35">
      <c r="A26" s="73"/>
      <c r="B26" s="73"/>
      <c r="C26" s="73"/>
      <c r="D26" s="16" t="s">
        <v>62</v>
      </c>
      <c r="E26" s="17" t="s">
        <v>5</v>
      </c>
      <c r="F26" s="13">
        <v>73</v>
      </c>
      <c r="G26" s="13">
        <v>2</v>
      </c>
      <c r="H26" s="15">
        <v>0</v>
      </c>
      <c r="I26" s="15">
        <v>0</v>
      </c>
      <c r="J26" s="15">
        <v>0</v>
      </c>
    </row>
    <row r="27" spans="1:15" x14ac:dyDescent="0.35">
      <c r="A27" s="73"/>
      <c r="B27" s="73"/>
      <c r="C27" s="73"/>
      <c r="D27" s="16" t="s">
        <v>62</v>
      </c>
      <c r="E27" s="17" t="s">
        <v>6</v>
      </c>
      <c r="F27" s="13">
        <v>120</v>
      </c>
      <c r="G27" s="13">
        <v>20</v>
      </c>
      <c r="H27" s="13">
        <v>1</v>
      </c>
      <c r="I27" s="13">
        <v>2</v>
      </c>
      <c r="J27" s="13">
        <v>1</v>
      </c>
    </row>
    <row r="28" spans="1:15" x14ac:dyDescent="0.35">
      <c r="A28" s="73"/>
      <c r="B28" s="73"/>
      <c r="C28" s="73"/>
      <c r="D28" s="16" t="s">
        <v>62</v>
      </c>
      <c r="E28" s="17" t="s">
        <v>7</v>
      </c>
      <c r="F28" s="13">
        <v>117</v>
      </c>
      <c r="G28" s="13">
        <v>46</v>
      </c>
      <c r="H28" s="13">
        <v>3</v>
      </c>
      <c r="I28" s="13">
        <v>7</v>
      </c>
      <c r="J28" s="15">
        <v>2</v>
      </c>
    </row>
    <row r="29" spans="1:15" x14ac:dyDescent="0.35">
      <c r="A29" s="73"/>
      <c r="B29" s="73"/>
      <c r="C29" s="73"/>
      <c r="D29" s="16" t="s">
        <v>62</v>
      </c>
      <c r="E29" s="17" t="s">
        <v>8</v>
      </c>
      <c r="F29" s="13">
        <v>43</v>
      </c>
      <c r="G29" s="13">
        <v>30</v>
      </c>
      <c r="H29" s="13">
        <v>10</v>
      </c>
      <c r="I29" s="13">
        <v>2</v>
      </c>
      <c r="J29" s="15">
        <v>1</v>
      </c>
      <c r="K29" s="2">
        <f>SUM(F22:F29)</f>
        <v>852</v>
      </c>
      <c r="L29" s="2">
        <f t="shared" ref="L29:O29" si="1">SUM(G22:G29)</f>
        <v>140</v>
      </c>
      <c r="M29" s="2">
        <f t="shared" si="1"/>
        <v>22</v>
      </c>
      <c r="N29" s="2">
        <f t="shared" si="1"/>
        <v>24</v>
      </c>
      <c r="O29" s="2">
        <f t="shared" si="1"/>
        <v>8</v>
      </c>
    </row>
    <row r="30" spans="1:15" x14ac:dyDescent="0.35">
      <c r="A30" s="3" t="s">
        <v>294</v>
      </c>
      <c r="B30" s="3" t="s">
        <v>295</v>
      </c>
      <c r="C30" s="3">
        <v>440</v>
      </c>
      <c r="D30" s="16" t="s">
        <v>63</v>
      </c>
      <c r="E30" s="17" t="s">
        <v>17</v>
      </c>
      <c r="F30" s="12">
        <v>90</v>
      </c>
      <c r="G30" s="12">
        <v>26</v>
      </c>
      <c r="H30" s="12">
        <v>14</v>
      </c>
      <c r="I30" s="12">
        <v>5</v>
      </c>
      <c r="J30" s="14">
        <v>0</v>
      </c>
    </row>
    <row r="31" spans="1:15" x14ac:dyDescent="0.35">
      <c r="A31" s="79"/>
      <c r="B31" s="79"/>
      <c r="C31" s="79"/>
      <c r="D31" s="16" t="s">
        <v>63</v>
      </c>
      <c r="E31" s="17" t="s">
        <v>2</v>
      </c>
      <c r="F31" s="12">
        <v>75</v>
      </c>
      <c r="G31" s="12">
        <v>27</v>
      </c>
      <c r="H31" s="12">
        <v>0</v>
      </c>
      <c r="I31" s="12">
        <v>4</v>
      </c>
      <c r="J31" s="14">
        <v>0</v>
      </c>
    </row>
    <row r="32" spans="1:15" x14ac:dyDescent="0.35">
      <c r="A32" s="79"/>
      <c r="B32" s="79"/>
      <c r="C32" s="79"/>
      <c r="D32" s="16" t="s">
        <v>63</v>
      </c>
      <c r="E32" s="17" t="s">
        <v>3</v>
      </c>
      <c r="F32" s="12">
        <v>63</v>
      </c>
      <c r="G32" s="12">
        <v>21</v>
      </c>
      <c r="H32" s="12">
        <v>1</v>
      </c>
      <c r="I32" s="12">
        <v>2</v>
      </c>
      <c r="J32" s="14">
        <v>0</v>
      </c>
      <c r="K32" s="2">
        <f>SUM(F30:F32)</f>
        <v>228</v>
      </c>
      <c r="L32" s="2">
        <f t="shared" ref="L32:O32" si="2">SUM(G30:G32)</f>
        <v>74</v>
      </c>
      <c r="M32" s="2">
        <f t="shared" si="2"/>
        <v>15</v>
      </c>
      <c r="N32" s="2">
        <f t="shared" si="2"/>
        <v>11</v>
      </c>
      <c r="O32" s="2">
        <f t="shared" si="2"/>
        <v>0</v>
      </c>
    </row>
    <row r="33" spans="1:15" x14ac:dyDescent="0.35">
      <c r="A33" s="6" t="s">
        <v>353</v>
      </c>
      <c r="B33" s="6" t="s">
        <v>354</v>
      </c>
      <c r="C33" s="6">
        <v>519</v>
      </c>
      <c r="D33" s="16" t="s">
        <v>64</v>
      </c>
      <c r="E33" s="17" t="s">
        <v>17</v>
      </c>
      <c r="F33" s="13">
        <v>41</v>
      </c>
      <c r="G33" s="13">
        <v>18</v>
      </c>
      <c r="H33" s="13">
        <v>6</v>
      </c>
      <c r="I33" s="13">
        <v>3</v>
      </c>
      <c r="J33" s="15">
        <v>0</v>
      </c>
    </row>
    <row r="34" spans="1:15" x14ac:dyDescent="0.35">
      <c r="A34" s="73"/>
      <c r="B34" s="73"/>
      <c r="C34" s="73"/>
      <c r="D34" s="16" t="s">
        <v>64</v>
      </c>
      <c r="E34" s="17" t="s">
        <v>2</v>
      </c>
      <c r="F34" s="13">
        <v>39</v>
      </c>
      <c r="G34" s="13">
        <v>24</v>
      </c>
      <c r="H34" s="13">
        <v>4</v>
      </c>
      <c r="I34" s="13">
        <v>4</v>
      </c>
      <c r="J34" s="15">
        <v>0</v>
      </c>
    </row>
    <row r="35" spans="1:15" x14ac:dyDescent="0.35">
      <c r="A35" s="73"/>
      <c r="B35" s="73"/>
      <c r="C35" s="73"/>
      <c r="D35" s="16" t="s">
        <v>64</v>
      </c>
      <c r="E35" s="17" t="s">
        <v>3</v>
      </c>
      <c r="F35" s="13">
        <v>84</v>
      </c>
      <c r="G35" s="13">
        <v>20</v>
      </c>
      <c r="H35" s="15">
        <v>0</v>
      </c>
      <c r="I35" s="13">
        <v>1</v>
      </c>
      <c r="J35" s="15">
        <v>1</v>
      </c>
    </row>
    <row r="36" spans="1:15" x14ac:dyDescent="0.35">
      <c r="A36" s="73"/>
      <c r="B36" s="73"/>
      <c r="C36" s="73"/>
      <c r="D36" s="16" t="s">
        <v>64</v>
      </c>
      <c r="E36" s="17" t="s">
        <v>4</v>
      </c>
      <c r="F36" s="13">
        <v>56</v>
      </c>
      <c r="G36" s="13">
        <v>18</v>
      </c>
      <c r="H36" s="13">
        <v>1</v>
      </c>
      <c r="I36" s="13">
        <v>3</v>
      </c>
      <c r="J36" s="15">
        <v>1</v>
      </c>
      <c r="K36" s="2">
        <f>SUM(F33:F36)</f>
        <v>220</v>
      </c>
      <c r="L36" s="2">
        <f t="shared" ref="L36:O36" si="3">SUM(G33:G36)</f>
        <v>80</v>
      </c>
      <c r="M36" s="2">
        <f t="shared" si="3"/>
        <v>11</v>
      </c>
      <c r="N36" s="2">
        <f t="shared" si="3"/>
        <v>11</v>
      </c>
      <c r="O36" s="2">
        <f t="shared" si="3"/>
        <v>2</v>
      </c>
    </row>
    <row r="37" spans="1:15" x14ac:dyDescent="0.35">
      <c r="A37" s="3" t="s">
        <v>355</v>
      </c>
      <c r="B37" s="3" t="s">
        <v>356</v>
      </c>
      <c r="C37" s="3">
        <v>788</v>
      </c>
      <c r="D37" s="16" t="s">
        <v>65</v>
      </c>
      <c r="E37" s="17" t="s">
        <v>17</v>
      </c>
      <c r="F37" s="12">
        <v>81</v>
      </c>
      <c r="G37" s="12">
        <v>36</v>
      </c>
      <c r="H37" s="12">
        <v>2</v>
      </c>
      <c r="I37" s="12">
        <v>5</v>
      </c>
      <c r="J37" s="14">
        <v>1</v>
      </c>
    </row>
    <row r="38" spans="1:15" x14ac:dyDescent="0.35">
      <c r="A38" s="79"/>
      <c r="B38" s="79"/>
      <c r="C38" s="79"/>
      <c r="D38" s="16" t="s">
        <v>65</v>
      </c>
      <c r="E38" s="17" t="s">
        <v>2</v>
      </c>
      <c r="F38" s="12">
        <v>79</v>
      </c>
      <c r="G38" s="12">
        <v>19</v>
      </c>
      <c r="H38" s="12">
        <v>1</v>
      </c>
      <c r="I38" s="12">
        <v>1</v>
      </c>
      <c r="J38" s="14">
        <v>1</v>
      </c>
    </row>
    <row r="39" spans="1:15" x14ac:dyDescent="0.35">
      <c r="A39" s="79"/>
      <c r="B39" s="79"/>
      <c r="C39" s="79"/>
      <c r="D39" s="16" t="s">
        <v>65</v>
      </c>
      <c r="E39" s="17" t="s">
        <v>3</v>
      </c>
      <c r="F39" s="12">
        <v>122</v>
      </c>
      <c r="G39" s="12">
        <v>41</v>
      </c>
      <c r="H39" s="12">
        <v>14</v>
      </c>
      <c r="I39" s="12">
        <v>16</v>
      </c>
      <c r="J39" s="14">
        <v>1</v>
      </c>
    </row>
    <row r="40" spans="1:15" x14ac:dyDescent="0.35">
      <c r="A40" s="79"/>
      <c r="B40" s="79"/>
      <c r="C40" s="79"/>
      <c r="D40" s="16" t="s">
        <v>65</v>
      </c>
      <c r="E40" s="17" t="s">
        <v>4</v>
      </c>
      <c r="F40" s="12">
        <v>138</v>
      </c>
      <c r="G40" s="12">
        <v>21</v>
      </c>
      <c r="H40" s="12">
        <v>1</v>
      </c>
      <c r="I40" s="12">
        <v>5</v>
      </c>
      <c r="J40" s="14">
        <v>1</v>
      </c>
    </row>
    <row r="41" spans="1:15" x14ac:dyDescent="0.35">
      <c r="A41" s="79"/>
      <c r="B41" s="79"/>
      <c r="C41" s="79"/>
      <c r="D41" s="16" t="s">
        <v>65</v>
      </c>
      <c r="E41" s="17" t="s">
        <v>5</v>
      </c>
      <c r="F41" s="12">
        <v>46</v>
      </c>
      <c r="G41" s="12">
        <v>5</v>
      </c>
      <c r="H41" s="12">
        <v>1</v>
      </c>
      <c r="I41" s="12">
        <v>2</v>
      </c>
      <c r="J41" s="14">
        <v>0</v>
      </c>
      <c r="K41" s="2">
        <f>SUM(F37:F41)</f>
        <v>466</v>
      </c>
      <c r="L41" s="2">
        <f t="shared" ref="L41:O41" si="4">SUM(G37:G41)</f>
        <v>122</v>
      </c>
      <c r="M41" s="2">
        <f t="shared" si="4"/>
        <v>19</v>
      </c>
      <c r="N41" s="2">
        <f t="shared" si="4"/>
        <v>29</v>
      </c>
      <c r="O41" s="2">
        <f t="shared" si="4"/>
        <v>4</v>
      </c>
    </row>
    <row r="42" spans="1:15" x14ac:dyDescent="0.35">
      <c r="A42" s="6" t="s">
        <v>296</v>
      </c>
      <c r="B42" s="6" t="s">
        <v>297</v>
      </c>
      <c r="C42" s="6">
        <v>491</v>
      </c>
      <c r="D42" s="16" t="s">
        <v>66</v>
      </c>
      <c r="E42" s="17" t="s">
        <v>17</v>
      </c>
      <c r="F42" s="13">
        <v>81</v>
      </c>
      <c r="G42" s="13">
        <v>25</v>
      </c>
      <c r="H42" s="13">
        <v>9</v>
      </c>
      <c r="I42" s="13">
        <v>1</v>
      </c>
      <c r="J42" s="15">
        <v>0</v>
      </c>
    </row>
    <row r="43" spans="1:15" x14ac:dyDescent="0.35">
      <c r="A43" s="73"/>
      <c r="B43" s="73"/>
      <c r="C43" s="73"/>
      <c r="D43" s="16" t="s">
        <v>66</v>
      </c>
      <c r="E43" s="17" t="s">
        <v>2</v>
      </c>
      <c r="F43" s="13">
        <v>38</v>
      </c>
      <c r="G43" s="13">
        <v>10</v>
      </c>
      <c r="H43" s="15">
        <v>0</v>
      </c>
      <c r="I43" s="13">
        <v>2</v>
      </c>
      <c r="J43" s="15">
        <v>0</v>
      </c>
    </row>
    <row r="44" spans="1:15" x14ac:dyDescent="0.35">
      <c r="A44" s="73"/>
      <c r="B44" s="73"/>
      <c r="C44" s="73"/>
      <c r="D44" s="16" t="s">
        <v>66</v>
      </c>
      <c r="E44" s="17" t="s">
        <v>3</v>
      </c>
      <c r="F44" s="13">
        <v>127</v>
      </c>
      <c r="G44" s="13">
        <v>16</v>
      </c>
      <c r="H44" s="13">
        <v>1</v>
      </c>
      <c r="I44" s="13">
        <v>5</v>
      </c>
      <c r="J44" s="15">
        <v>0</v>
      </c>
    </row>
    <row r="45" spans="1:15" x14ac:dyDescent="0.35">
      <c r="A45" s="73"/>
      <c r="B45" s="73"/>
      <c r="C45" s="73"/>
      <c r="D45" s="16" t="s">
        <v>66</v>
      </c>
      <c r="E45" s="17" t="s">
        <v>4</v>
      </c>
      <c r="F45" s="13">
        <v>42</v>
      </c>
      <c r="G45" s="13">
        <v>6</v>
      </c>
      <c r="H45" s="13">
        <v>0</v>
      </c>
      <c r="I45" s="13">
        <v>3</v>
      </c>
      <c r="J45" s="13">
        <v>0</v>
      </c>
      <c r="K45" s="2">
        <f>SUM(F42:F45)</f>
        <v>288</v>
      </c>
      <c r="L45" s="2">
        <f t="shared" ref="L45:O45" si="5">SUM(G42:G45)</f>
        <v>57</v>
      </c>
      <c r="M45" s="2">
        <f t="shared" si="5"/>
        <v>10</v>
      </c>
      <c r="N45" s="2">
        <f t="shared" si="5"/>
        <v>11</v>
      </c>
      <c r="O45" s="2">
        <f t="shared" si="5"/>
        <v>0</v>
      </c>
    </row>
    <row r="46" spans="1:15" x14ac:dyDescent="0.35">
      <c r="A46" s="3" t="s">
        <v>357</v>
      </c>
      <c r="B46" s="3" t="s">
        <v>358</v>
      </c>
      <c r="C46" s="3">
        <v>707</v>
      </c>
      <c r="D46" s="16" t="s">
        <v>67</v>
      </c>
      <c r="E46" s="17" t="s">
        <v>17</v>
      </c>
      <c r="F46" s="12">
        <v>52</v>
      </c>
      <c r="G46" s="12">
        <v>7</v>
      </c>
      <c r="H46" s="12">
        <v>0</v>
      </c>
      <c r="I46" s="12">
        <v>1</v>
      </c>
      <c r="J46" s="14">
        <v>0</v>
      </c>
    </row>
    <row r="47" spans="1:15" x14ac:dyDescent="0.35">
      <c r="A47" s="79"/>
      <c r="B47" s="79"/>
      <c r="C47" s="79"/>
      <c r="D47" s="16" t="s">
        <v>67</v>
      </c>
      <c r="E47" s="17" t="s">
        <v>2</v>
      </c>
      <c r="F47" s="12">
        <v>39</v>
      </c>
      <c r="G47" s="12">
        <v>4</v>
      </c>
      <c r="H47" s="14">
        <v>0</v>
      </c>
      <c r="I47" s="12">
        <v>3</v>
      </c>
      <c r="J47" s="14">
        <v>1</v>
      </c>
    </row>
    <row r="48" spans="1:15" x14ac:dyDescent="0.35">
      <c r="A48" s="79"/>
      <c r="B48" s="79"/>
      <c r="C48" s="79"/>
      <c r="D48" s="16" t="s">
        <v>67</v>
      </c>
      <c r="E48" s="17" t="s">
        <v>3</v>
      </c>
      <c r="F48" s="12">
        <v>61</v>
      </c>
      <c r="G48" s="12">
        <v>21</v>
      </c>
      <c r="H48" s="14">
        <v>0</v>
      </c>
      <c r="I48" s="12">
        <v>2</v>
      </c>
      <c r="J48" s="14">
        <v>0</v>
      </c>
    </row>
    <row r="49" spans="1:15" x14ac:dyDescent="0.35">
      <c r="A49" s="79"/>
      <c r="B49" s="79"/>
      <c r="C49" s="79"/>
      <c r="D49" s="16" t="s">
        <v>67</v>
      </c>
      <c r="E49" s="17" t="s">
        <v>4</v>
      </c>
      <c r="F49" s="12">
        <v>49</v>
      </c>
      <c r="G49" s="12">
        <v>17</v>
      </c>
      <c r="H49" s="14">
        <v>5</v>
      </c>
      <c r="I49" s="12">
        <v>2</v>
      </c>
      <c r="J49" s="14">
        <v>0</v>
      </c>
    </row>
    <row r="50" spans="1:15" x14ac:dyDescent="0.35">
      <c r="A50" s="79"/>
      <c r="B50" s="79"/>
      <c r="C50" s="79"/>
      <c r="D50" s="16" t="s">
        <v>67</v>
      </c>
      <c r="E50" s="17" t="s">
        <v>5</v>
      </c>
      <c r="F50" s="12">
        <v>112</v>
      </c>
      <c r="G50" s="12">
        <v>17</v>
      </c>
      <c r="H50" s="14">
        <v>6</v>
      </c>
      <c r="I50" s="12">
        <v>8</v>
      </c>
      <c r="J50" s="14">
        <v>1</v>
      </c>
      <c r="K50" s="2">
        <f>SUM(F46:F50)</f>
        <v>313</v>
      </c>
      <c r="L50" s="2">
        <f t="shared" ref="L50:O50" si="6">SUM(G46:G50)</f>
        <v>66</v>
      </c>
      <c r="M50" s="2">
        <f t="shared" si="6"/>
        <v>11</v>
      </c>
      <c r="N50" s="2">
        <f t="shared" si="6"/>
        <v>16</v>
      </c>
      <c r="O50" s="2">
        <f t="shared" si="6"/>
        <v>2</v>
      </c>
    </row>
    <row r="51" spans="1:15" x14ac:dyDescent="0.35">
      <c r="A51" s="6" t="s">
        <v>359</v>
      </c>
      <c r="B51" s="6" t="s">
        <v>360</v>
      </c>
      <c r="C51" s="6">
        <v>813</v>
      </c>
      <c r="D51" s="16" t="s">
        <v>68</v>
      </c>
      <c r="E51" s="17" t="s">
        <v>17</v>
      </c>
      <c r="F51" s="13">
        <v>61</v>
      </c>
      <c r="G51" s="13">
        <v>19</v>
      </c>
      <c r="H51" s="13">
        <v>3</v>
      </c>
      <c r="I51" s="13">
        <v>4</v>
      </c>
      <c r="J51" s="15">
        <v>0</v>
      </c>
    </row>
    <row r="52" spans="1:15" x14ac:dyDescent="0.35">
      <c r="A52" s="73"/>
      <c r="B52" s="73"/>
      <c r="C52" s="73"/>
      <c r="D52" s="16" t="s">
        <v>68</v>
      </c>
      <c r="E52" s="17" t="s">
        <v>2</v>
      </c>
      <c r="F52" s="13">
        <v>83</v>
      </c>
      <c r="G52" s="13">
        <v>17</v>
      </c>
      <c r="H52" s="13">
        <v>1</v>
      </c>
      <c r="I52" s="13">
        <v>3</v>
      </c>
      <c r="J52" s="15">
        <v>0</v>
      </c>
    </row>
    <row r="53" spans="1:15" x14ac:dyDescent="0.35">
      <c r="A53" s="73"/>
      <c r="B53" s="73"/>
      <c r="C53" s="73"/>
      <c r="D53" s="16" t="s">
        <v>68</v>
      </c>
      <c r="E53" s="17" t="s">
        <v>3</v>
      </c>
      <c r="F53" s="13">
        <v>105</v>
      </c>
      <c r="G53" s="13">
        <v>14</v>
      </c>
      <c r="H53" s="15">
        <v>0</v>
      </c>
      <c r="I53" s="13">
        <v>4</v>
      </c>
      <c r="J53" s="15">
        <v>0</v>
      </c>
    </row>
    <row r="54" spans="1:15" x14ac:dyDescent="0.35">
      <c r="A54" s="73"/>
      <c r="B54" s="73"/>
      <c r="C54" s="73"/>
      <c r="D54" s="16" t="s">
        <v>68</v>
      </c>
      <c r="E54" s="17" t="s">
        <v>4</v>
      </c>
      <c r="F54" s="13">
        <v>239</v>
      </c>
      <c r="G54" s="13">
        <v>23</v>
      </c>
      <c r="H54" s="13">
        <v>1</v>
      </c>
      <c r="I54" s="13">
        <v>8</v>
      </c>
      <c r="J54" s="13">
        <v>1</v>
      </c>
      <c r="K54" s="2">
        <f>SUM(F51:F54)</f>
        <v>488</v>
      </c>
      <c r="L54" s="2">
        <f t="shared" ref="L54:O54" si="7">SUM(G51:G54)</f>
        <v>73</v>
      </c>
      <c r="M54" s="2">
        <f t="shared" si="7"/>
        <v>5</v>
      </c>
      <c r="N54" s="2">
        <f t="shared" si="7"/>
        <v>19</v>
      </c>
      <c r="O54" s="2">
        <f t="shared" si="7"/>
        <v>1</v>
      </c>
    </row>
    <row r="55" spans="1:15" x14ac:dyDescent="0.35">
      <c r="A55" s="3" t="s">
        <v>298</v>
      </c>
      <c r="B55" s="3" t="s">
        <v>299</v>
      </c>
      <c r="C55" s="3">
        <v>978</v>
      </c>
      <c r="D55" s="16" t="s">
        <v>69</v>
      </c>
      <c r="E55" s="17" t="s">
        <v>17</v>
      </c>
      <c r="F55" s="12">
        <v>78</v>
      </c>
      <c r="G55" s="12">
        <v>8</v>
      </c>
      <c r="H55" s="12">
        <v>7</v>
      </c>
      <c r="I55" s="12">
        <v>1</v>
      </c>
      <c r="J55" s="14">
        <v>0</v>
      </c>
    </row>
    <row r="56" spans="1:15" x14ac:dyDescent="0.35">
      <c r="A56" s="79"/>
      <c r="B56" s="79"/>
      <c r="C56" s="79"/>
      <c r="D56" s="16" t="s">
        <v>69</v>
      </c>
      <c r="E56" s="17" t="s">
        <v>2</v>
      </c>
      <c r="F56" s="12">
        <v>68</v>
      </c>
      <c r="G56" s="12">
        <v>22</v>
      </c>
      <c r="H56" s="12">
        <v>6</v>
      </c>
      <c r="I56" s="12">
        <v>2</v>
      </c>
      <c r="J56" s="14">
        <v>1</v>
      </c>
    </row>
    <row r="57" spans="1:15" x14ac:dyDescent="0.35">
      <c r="A57" s="79"/>
      <c r="B57" s="79"/>
      <c r="C57" s="79"/>
      <c r="D57" s="16" t="s">
        <v>69</v>
      </c>
      <c r="E57" s="17" t="s">
        <v>3</v>
      </c>
      <c r="F57" s="12">
        <v>104</v>
      </c>
      <c r="G57" s="12">
        <v>28</v>
      </c>
      <c r="H57" s="14">
        <v>0</v>
      </c>
      <c r="I57" s="12">
        <v>3</v>
      </c>
      <c r="J57" s="14">
        <v>0</v>
      </c>
    </row>
    <row r="58" spans="1:15" x14ac:dyDescent="0.35">
      <c r="A58" s="79"/>
      <c r="B58" s="79"/>
      <c r="C58" s="79"/>
      <c r="D58" s="16" t="s">
        <v>69</v>
      </c>
      <c r="E58" s="17" t="s">
        <v>4</v>
      </c>
      <c r="F58" s="12">
        <v>98</v>
      </c>
      <c r="G58" s="12">
        <v>28</v>
      </c>
      <c r="H58" s="12">
        <v>5</v>
      </c>
      <c r="I58" s="12">
        <v>7</v>
      </c>
      <c r="J58" s="14">
        <v>0</v>
      </c>
    </row>
    <row r="59" spans="1:15" x14ac:dyDescent="0.35">
      <c r="A59" s="79"/>
      <c r="B59" s="79"/>
      <c r="C59" s="79"/>
      <c r="D59" s="16" t="s">
        <v>69</v>
      </c>
      <c r="E59" s="17" t="s">
        <v>5</v>
      </c>
      <c r="F59" s="12">
        <v>79</v>
      </c>
      <c r="G59" s="12">
        <v>30</v>
      </c>
      <c r="H59" s="12">
        <v>3</v>
      </c>
      <c r="I59" s="12">
        <v>5</v>
      </c>
      <c r="J59" s="12">
        <v>0</v>
      </c>
      <c r="K59" s="2">
        <f>SUM(F55:F59)</f>
        <v>427</v>
      </c>
      <c r="L59" s="2">
        <f t="shared" ref="L59:O59" si="8">SUM(G55:G59)</f>
        <v>116</v>
      </c>
      <c r="M59" s="2">
        <f t="shared" si="8"/>
        <v>21</v>
      </c>
      <c r="N59" s="2">
        <f t="shared" si="8"/>
        <v>18</v>
      </c>
      <c r="O59" s="2">
        <f t="shared" si="8"/>
        <v>1</v>
      </c>
    </row>
    <row r="60" spans="1:15" x14ac:dyDescent="0.35">
      <c r="A60" s="6" t="s">
        <v>300</v>
      </c>
      <c r="B60" s="6" t="s">
        <v>301</v>
      </c>
      <c r="C60" s="6">
        <v>1244</v>
      </c>
      <c r="D60" s="16" t="s">
        <v>70</v>
      </c>
      <c r="E60" s="17" t="s">
        <v>17</v>
      </c>
      <c r="F60" s="13">
        <v>36</v>
      </c>
      <c r="G60" s="13">
        <v>8</v>
      </c>
      <c r="H60" s="13">
        <v>1</v>
      </c>
      <c r="I60" s="13">
        <v>2</v>
      </c>
      <c r="J60" s="15">
        <v>0</v>
      </c>
    </row>
    <row r="61" spans="1:15" x14ac:dyDescent="0.35">
      <c r="A61" s="73"/>
      <c r="B61" s="73"/>
      <c r="C61" s="73"/>
      <c r="D61" s="16" t="s">
        <v>70</v>
      </c>
      <c r="E61" s="17" t="s">
        <v>2</v>
      </c>
      <c r="F61" s="13">
        <v>85</v>
      </c>
      <c r="G61" s="13">
        <v>14</v>
      </c>
      <c r="H61" s="13">
        <v>3</v>
      </c>
      <c r="I61" s="13">
        <v>7</v>
      </c>
      <c r="J61" s="15">
        <v>0</v>
      </c>
    </row>
    <row r="62" spans="1:15" x14ac:dyDescent="0.35">
      <c r="A62" s="73"/>
      <c r="B62" s="73"/>
      <c r="C62" s="73"/>
      <c r="D62" s="16" t="s">
        <v>70</v>
      </c>
      <c r="E62" s="17" t="s">
        <v>3</v>
      </c>
      <c r="F62" s="13">
        <v>67</v>
      </c>
      <c r="G62" s="13">
        <v>7</v>
      </c>
      <c r="H62" s="13">
        <v>1</v>
      </c>
      <c r="I62" s="13">
        <v>2</v>
      </c>
      <c r="J62" s="15">
        <v>1</v>
      </c>
    </row>
    <row r="63" spans="1:15" x14ac:dyDescent="0.35">
      <c r="A63" s="73"/>
      <c r="B63" s="73"/>
      <c r="C63" s="73"/>
      <c r="D63" s="16" t="s">
        <v>70</v>
      </c>
      <c r="E63" s="17" t="s">
        <v>4</v>
      </c>
      <c r="F63" s="13">
        <v>64</v>
      </c>
      <c r="G63" s="13">
        <v>16</v>
      </c>
      <c r="H63" s="13">
        <v>8</v>
      </c>
      <c r="I63" s="13">
        <v>6</v>
      </c>
      <c r="J63" s="15">
        <v>1</v>
      </c>
    </row>
    <row r="64" spans="1:15" x14ac:dyDescent="0.35">
      <c r="A64" s="73"/>
      <c r="B64" s="73"/>
      <c r="C64" s="73"/>
      <c r="D64" s="16" t="s">
        <v>70</v>
      </c>
      <c r="E64" s="17" t="s">
        <v>5</v>
      </c>
      <c r="F64" s="13">
        <v>20</v>
      </c>
      <c r="G64" s="13">
        <v>5</v>
      </c>
      <c r="H64" s="13">
        <v>1</v>
      </c>
      <c r="I64" s="13">
        <v>1</v>
      </c>
      <c r="J64" s="15">
        <v>0</v>
      </c>
    </row>
    <row r="65" spans="1:15" x14ac:dyDescent="0.35">
      <c r="A65" s="73"/>
      <c r="B65" s="73"/>
      <c r="C65" s="73"/>
      <c r="D65" s="16" t="s">
        <v>70</v>
      </c>
      <c r="E65" s="17" t="s">
        <v>6</v>
      </c>
      <c r="F65" s="13">
        <v>70</v>
      </c>
      <c r="G65" s="13">
        <v>11</v>
      </c>
      <c r="H65" s="13">
        <v>2</v>
      </c>
      <c r="I65" s="13">
        <v>4</v>
      </c>
      <c r="J65" s="13">
        <v>0</v>
      </c>
    </row>
    <row r="66" spans="1:15" x14ac:dyDescent="0.35">
      <c r="A66" s="73"/>
      <c r="B66" s="73"/>
      <c r="C66" s="73"/>
      <c r="D66" s="16" t="s">
        <v>70</v>
      </c>
      <c r="E66" s="17" t="s">
        <v>7</v>
      </c>
      <c r="F66" s="13">
        <v>36</v>
      </c>
      <c r="G66" s="13">
        <v>19</v>
      </c>
      <c r="H66" s="13">
        <v>0</v>
      </c>
      <c r="I66" s="13">
        <v>1</v>
      </c>
      <c r="J66" s="15">
        <v>0</v>
      </c>
    </row>
    <row r="67" spans="1:15" x14ac:dyDescent="0.35">
      <c r="A67" s="73"/>
      <c r="B67" s="73"/>
      <c r="C67" s="73"/>
      <c r="D67" s="16" t="s">
        <v>70</v>
      </c>
      <c r="E67" s="17" t="s">
        <v>8</v>
      </c>
      <c r="F67" s="13">
        <v>60</v>
      </c>
      <c r="G67" s="13">
        <v>14</v>
      </c>
      <c r="H67" s="15">
        <v>0</v>
      </c>
      <c r="I67" s="15">
        <v>0</v>
      </c>
      <c r="J67" s="15">
        <v>0</v>
      </c>
    </row>
    <row r="68" spans="1:15" x14ac:dyDescent="0.35">
      <c r="A68" s="73"/>
      <c r="B68" s="73"/>
      <c r="C68" s="73"/>
      <c r="D68" s="16" t="s">
        <v>70</v>
      </c>
      <c r="E68" s="17" t="s">
        <v>9</v>
      </c>
      <c r="F68" s="13">
        <v>107</v>
      </c>
      <c r="G68" s="13">
        <v>20</v>
      </c>
      <c r="H68" s="13">
        <v>3</v>
      </c>
      <c r="I68" s="13">
        <v>2</v>
      </c>
      <c r="J68" s="15">
        <v>1</v>
      </c>
      <c r="K68" s="2">
        <f>SUM(F60:F68)</f>
        <v>545</v>
      </c>
      <c r="L68" s="2">
        <f t="shared" ref="L68:O68" si="9">SUM(G60:G68)</f>
        <v>114</v>
      </c>
      <c r="M68" s="2">
        <f t="shared" si="9"/>
        <v>19</v>
      </c>
      <c r="N68" s="2">
        <f t="shared" si="9"/>
        <v>25</v>
      </c>
      <c r="O68" s="2">
        <f t="shared" si="9"/>
        <v>3</v>
      </c>
    </row>
    <row r="69" spans="1:15" x14ac:dyDescent="0.35">
      <c r="A69" s="3" t="s">
        <v>302</v>
      </c>
      <c r="B69" s="3" t="s">
        <v>303</v>
      </c>
      <c r="C69" s="3">
        <v>750</v>
      </c>
      <c r="D69" s="16" t="s">
        <v>71</v>
      </c>
      <c r="E69" s="17" t="s">
        <v>17</v>
      </c>
      <c r="F69" s="12">
        <v>54</v>
      </c>
      <c r="G69" s="12">
        <v>8</v>
      </c>
      <c r="H69" s="14">
        <v>0</v>
      </c>
      <c r="I69" s="12">
        <v>4</v>
      </c>
      <c r="J69" s="14">
        <v>0</v>
      </c>
    </row>
    <row r="70" spans="1:15" x14ac:dyDescent="0.35">
      <c r="A70" s="79"/>
      <c r="B70" s="79"/>
      <c r="C70" s="79"/>
      <c r="D70" s="16" t="s">
        <v>71</v>
      </c>
      <c r="E70" s="17" t="s">
        <v>2</v>
      </c>
      <c r="F70" s="12">
        <v>29</v>
      </c>
      <c r="G70" s="12">
        <v>9</v>
      </c>
      <c r="H70" s="14">
        <v>0</v>
      </c>
      <c r="I70" s="14">
        <v>0</v>
      </c>
      <c r="J70" s="14">
        <v>0</v>
      </c>
    </row>
    <row r="71" spans="1:15" x14ac:dyDescent="0.35">
      <c r="A71" s="79"/>
      <c r="B71" s="79"/>
      <c r="C71" s="79"/>
      <c r="D71" s="16" t="s">
        <v>71</v>
      </c>
      <c r="E71" s="17" t="s">
        <v>3</v>
      </c>
      <c r="F71" s="12">
        <v>28</v>
      </c>
      <c r="G71" s="12">
        <v>13</v>
      </c>
      <c r="H71" s="14">
        <v>0</v>
      </c>
      <c r="I71" s="12">
        <v>2</v>
      </c>
      <c r="J71" s="14">
        <v>0</v>
      </c>
    </row>
    <row r="72" spans="1:15" x14ac:dyDescent="0.35">
      <c r="A72" s="79"/>
      <c r="B72" s="79"/>
      <c r="C72" s="79"/>
      <c r="D72" s="16" t="s">
        <v>71</v>
      </c>
      <c r="E72" s="17" t="s">
        <v>4</v>
      </c>
      <c r="F72" s="12">
        <v>106</v>
      </c>
      <c r="G72" s="12">
        <v>21</v>
      </c>
      <c r="H72" s="12">
        <v>10</v>
      </c>
      <c r="I72" s="12">
        <v>3</v>
      </c>
      <c r="J72" s="12">
        <v>0</v>
      </c>
    </row>
    <row r="73" spans="1:15" x14ac:dyDescent="0.35">
      <c r="A73" s="79"/>
      <c r="B73" s="79"/>
      <c r="C73" s="79"/>
      <c r="D73" s="16" t="s">
        <v>71</v>
      </c>
      <c r="E73" s="17" t="s">
        <v>5</v>
      </c>
      <c r="F73" s="12">
        <v>60</v>
      </c>
      <c r="G73" s="12">
        <v>7</v>
      </c>
      <c r="H73" s="12">
        <v>1</v>
      </c>
      <c r="I73" s="14">
        <v>0</v>
      </c>
      <c r="J73" s="14">
        <v>0</v>
      </c>
      <c r="K73" s="2">
        <f>SUM(F69:F73)</f>
        <v>277</v>
      </c>
      <c r="L73" s="2">
        <f t="shared" ref="L73:O73" si="10">SUM(G69:G73)</f>
        <v>58</v>
      </c>
      <c r="M73" s="2">
        <f t="shared" si="10"/>
        <v>11</v>
      </c>
      <c r="N73" s="2">
        <f t="shared" si="10"/>
        <v>9</v>
      </c>
      <c r="O73" s="2">
        <f t="shared" si="10"/>
        <v>0</v>
      </c>
    </row>
    <row r="74" spans="1:15" x14ac:dyDescent="0.35">
      <c r="A74" s="6" t="s">
        <v>361</v>
      </c>
      <c r="B74" s="6" t="s">
        <v>362</v>
      </c>
      <c r="C74" s="6">
        <v>1053</v>
      </c>
      <c r="D74" s="16" t="s">
        <v>72</v>
      </c>
      <c r="E74" s="17" t="s">
        <v>17</v>
      </c>
      <c r="F74" s="13">
        <v>148</v>
      </c>
      <c r="G74" s="13">
        <v>23</v>
      </c>
      <c r="H74" s="13">
        <v>9</v>
      </c>
      <c r="I74" s="13">
        <v>1</v>
      </c>
      <c r="J74" s="15">
        <v>0</v>
      </c>
    </row>
    <row r="75" spans="1:15" x14ac:dyDescent="0.35">
      <c r="A75" s="73"/>
      <c r="B75" s="73"/>
      <c r="C75" s="73"/>
      <c r="D75" s="16" t="s">
        <v>72</v>
      </c>
      <c r="E75" s="17" t="s">
        <v>2</v>
      </c>
      <c r="F75" s="13">
        <v>136</v>
      </c>
      <c r="G75" s="13">
        <v>26</v>
      </c>
      <c r="H75" s="15">
        <v>0</v>
      </c>
      <c r="I75" s="13">
        <v>9</v>
      </c>
      <c r="J75" s="15">
        <v>1</v>
      </c>
    </row>
    <row r="76" spans="1:15" x14ac:dyDescent="0.35">
      <c r="A76" s="73"/>
      <c r="B76" s="73"/>
      <c r="C76" s="73"/>
      <c r="D76" s="16" t="s">
        <v>72</v>
      </c>
      <c r="E76" s="17" t="s">
        <v>3</v>
      </c>
      <c r="F76" s="13">
        <v>129</v>
      </c>
      <c r="G76" s="13">
        <v>12</v>
      </c>
      <c r="H76" s="13">
        <v>4</v>
      </c>
      <c r="I76" s="13">
        <v>3</v>
      </c>
      <c r="J76" s="15">
        <v>0</v>
      </c>
    </row>
    <row r="77" spans="1:15" x14ac:dyDescent="0.35">
      <c r="A77" s="73"/>
      <c r="B77" s="73"/>
      <c r="C77" s="73"/>
      <c r="D77" s="16" t="s">
        <v>72</v>
      </c>
      <c r="E77" s="17" t="s">
        <v>4</v>
      </c>
      <c r="F77" s="13">
        <v>138</v>
      </c>
      <c r="G77" s="13">
        <v>20</v>
      </c>
      <c r="H77" s="13">
        <v>3</v>
      </c>
      <c r="I77" s="13">
        <v>4</v>
      </c>
      <c r="J77" s="15">
        <v>1</v>
      </c>
      <c r="K77" s="2">
        <f>SUM(F74:F77)</f>
        <v>551</v>
      </c>
      <c r="L77" s="2">
        <f t="shared" ref="L77:O77" si="11">SUM(G74:G77)</f>
        <v>81</v>
      </c>
      <c r="M77" s="2">
        <f t="shared" si="11"/>
        <v>16</v>
      </c>
      <c r="N77" s="2">
        <f t="shared" si="11"/>
        <v>17</v>
      </c>
      <c r="O77" s="2">
        <f t="shared" si="11"/>
        <v>2</v>
      </c>
    </row>
    <row r="78" spans="1:15" x14ac:dyDescent="0.35">
      <c r="A78" s="3" t="s">
        <v>363</v>
      </c>
      <c r="B78" s="3" t="s">
        <v>364</v>
      </c>
      <c r="C78" s="3">
        <v>1369</v>
      </c>
      <c r="D78" s="16" t="s">
        <v>73</v>
      </c>
      <c r="E78" s="17" t="s">
        <v>17</v>
      </c>
      <c r="F78" s="12">
        <v>65</v>
      </c>
      <c r="G78" s="12">
        <v>8</v>
      </c>
      <c r="H78" s="14">
        <v>0</v>
      </c>
      <c r="I78" s="12">
        <v>0</v>
      </c>
      <c r="J78" s="14">
        <v>0</v>
      </c>
    </row>
    <row r="79" spans="1:15" x14ac:dyDescent="0.35">
      <c r="A79" s="79"/>
      <c r="B79" s="79"/>
      <c r="C79" s="79"/>
      <c r="D79" s="16" t="s">
        <v>73</v>
      </c>
      <c r="E79" s="17" t="s">
        <v>2</v>
      </c>
      <c r="F79" s="12">
        <v>39</v>
      </c>
      <c r="G79" s="12">
        <v>4</v>
      </c>
      <c r="H79" s="14">
        <v>0</v>
      </c>
      <c r="I79" s="12">
        <v>1</v>
      </c>
      <c r="J79" s="12">
        <v>0</v>
      </c>
    </row>
    <row r="80" spans="1:15" x14ac:dyDescent="0.35">
      <c r="A80" s="79"/>
      <c r="B80" s="79"/>
      <c r="C80" s="79"/>
      <c r="D80" s="16" t="s">
        <v>73</v>
      </c>
      <c r="E80" s="17" t="s">
        <v>3</v>
      </c>
      <c r="F80" s="12">
        <v>72</v>
      </c>
      <c r="G80" s="12">
        <v>15</v>
      </c>
      <c r="H80" s="14">
        <v>0</v>
      </c>
      <c r="I80" s="12">
        <v>2</v>
      </c>
      <c r="J80" s="14">
        <v>0</v>
      </c>
    </row>
    <row r="81" spans="1:15" x14ac:dyDescent="0.35">
      <c r="A81" s="79"/>
      <c r="B81" s="79"/>
      <c r="C81" s="79"/>
      <c r="D81" s="16" t="s">
        <v>73</v>
      </c>
      <c r="E81" s="17" t="s">
        <v>4</v>
      </c>
      <c r="F81" s="12">
        <v>89</v>
      </c>
      <c r="G81" s="12">
        <v>5</v>
      </c>
      <c r="H81" s="14">
        <v>0</v>
      </c>
      <c r="I81" s="12">
        <v>6</v>
      </c>
      <c r="J81" s="14">
        <v>0</v>
      </c>
    </row>
    <row r="82" spans="1:15" x14ac:dyDescent="0.35">
      <c r="A82" s="79"/>
      <c r="B82" s="79"/>
      <c r="C82" s="79"/>
      <c r="D82" s="16" t="s">
        <v>73</v>
      </c>
      <c r="E82" s="17" t="s">
        <v>5</v>
      </c>
      <c r="F82" s="12">
        <v>109</v>
      </c>
      <c r="G82" s="12">
        <v>3</v>
      </c>
      <c r="H82" s="14">
        <v>0</v>
      </c>
      <c r="I82" s="14">
        <v>0</v>
      </c>
      <c r="J82" s="14">
        <v>0</v>
      </c>
    </row>
    <row r="83" spans="1:15" x14ac:dyDescent="0.35">
      <c r="A83" s="79"/>
      <c r="B83" s="79"/>
      <c r="C83" s="79"/>
      <c r="D83" s="16" t="s">
        <v>73</v>
      </c>
      <c r="E83" s="17" t="s">
        <v>6</v>
      </c>
      <c r="F83" s="12">
        <v>100</v>
      </c>
      <c r="G83" s="12">
        <v>14</v>
      </c>
      <c r="H83" s="14">
        <v>0</v>
      </c>
      <c r="I83" s="12">
        <v>2</v>
      </c>
      <c r="J83" s="14">
        <v>0</v>
      </c>
    </row>
    <row r="84" spans="1:15" x14ac:dyDescent="0.35">
      <c r="A84" s="79"/>
      <c r="B84" s="79"/>
      <c r="C84" s="79"/>
      <c r="D84" s="16" t="s">
        <v>73</v>
      </c>
      <c r="E84" s="17" t="s">
        <v>7</v>
      </c>
      <c r="F84" s="12">
        <v>32</v>
      </c>
      <c r="G84" s="12">
        <v>4</v>
      </c>
      <c r="H84" s="14">
        <v>0</v>
      </c>
      <c r="I84" s="14">
        <v>0</v>
      </c>
      <c r="J84" s="14">
        <v>0</v>
      </c>
    </row>
    <row r="85" spans="1:15" x14ac:dyDescent="0.35">
      <c r="A85" s="79"/>
      <c r="B85" s="79"/>
      <c r="C85" s="79"/>
      <c r="D85" s="16" t="s">
        <v>73</v>
      </c>
      <c r="E85" s="17" t="s">
        <v>8</v>
      </c>
      <c r="F85" s="12">
        <v>73</v>
      </c>
      <c r="G85" s="12">
        <v>19</v>
      </c>
      <c r="H85" s="14">
        <v>0</v>
      </c>
      <c r="I85" s="14">
        <v>0</v>
      </c>
      <c r="J85" s="14">
        <v>0</v>
      </c>
      <c r="K85" s="2">
        <f>SUM(F78:F85)</f>
        <v>579</v>
      </c>
      <c r="L85" s="2">
        <f t="shared" ref="L85:O85" si="12">SUM(G78:G85)</f>
        <v>72</v>
      </c>
      <c r="M85" s="2">
        <f t="shared" si="12"/>
        <v>0</v>
      </c>
      <c r="N85" s="2">
        <f t="shared" si="12"/>
        <v>11</v>
      </c>
      <c r="O85" s="2">
        <f t="shared" si="12"/>
        <v>0</v>
      </c>
    </row>
    <row r="86" spans="1:15" x14ac:dyDescent="0.35">
      <c r="A86" s="6" t="s">
        <v>365</v>
      </c>
      <c r="B86" s="6" t="s">
        <v>366</v>
      </c>
      <c r="C86" s="6">
        <v>1436</v>
      </c>
      <c r="D86" s="16" t="s">
        <v>74</v>
      </c>
      <c r="E86" s="17" t="s">
        <v>17</v>
      </c>
      <c r="F86" s="13">
        <v>131</v>
      </c>
      <c r="G86" s="13">
        <v>16</v>
      </c>
      <c r="H86" s="15">
        <v>0</v>
      </c>
      <c r="I86" s="13">
        <v>3</v>
      </c>
      <c r="J86" s="15">
        <v>1</v>
      </c>
    </row>
    <row r="87" spans="1:15" x14ac:dyDescent="0.35">
      <c r="A87" s="73"/>
      <c r="B87" s="73"/>
      <c r="C87" s="73"/>
      <c r="D87" s="16" t="s">
        <v>74</v>
      </c>
      <c r="E87" s="17" t="s">
        <v>2</v>
      </c>
      <c r="F87" s="13">
        <v>127</v>
      </c>
      <c r="G87" s="13">
        <v>7</v>
      </c>
      <c r="H87" s="15">
        <v>0</v>
      </c>
      <c r="I87" s="13">
        <v>2</v>
      </c>
      <c r="J87" s="15">
        <v>1</v>
      </c>
    </row>
    <row r="88" spans="1:15" x14ac:dyDescent="0.35">
      <c r="A88" s="73"/>
      <c r="B88" s="73"/>
      <c r="C88" s="73"/>
      <c r="D88" s="16" t="s">
        <v>74</v>
      </c>
      <c r="E88" s="17" t="s">
        <v>3</v>
      </c>
      <c r="F88" s="13">
        <v>94</v>
      </c>
      <c r="G88" s="13">
        <v>13</v>
      </c>
      <c r="H88" s="13">
        <v>1</v>
      </c>
      <c r="I88" s="13">
        <v>1</v>
      </c>
      <c r="J88" s="15">
        <v>2</v>
      </c>
    </row>
    <row r="89" spans="1:15" x14ac:dyDescent="0.35">
      <c r="A89" s="73"/>
      <c r="B89" s="73"/>
      <c r="C89" s="73"/>
      <c r="D89" s="16" t="s">
        <v>74</v>
      </c>
      <c r="E89" s="17" t="s">
        <v>4</v>
      </c>
      <c r="F89" s="13">
        <v>70</v>
      </c>
      <c r="G89" s="13">
        <v>9</v>
      </c>
      <c r="H89" s="13">
        <v>1</v>
      </c>
      <c r="I89" s="13">
        <v>5</v>
      </c>
      <c r="J89" s="15">
        <v>1</v>
      </c>
    </row>
    <row r="90" spans="1:15" x14ac:dyDescent="0.35">
      <c r="A90" s="73"/>
      <c r="B90" s="73"/>
      <c r="C90" s="73"/>
      <c r="D90" s="16" t="s">
        <v>74</v>
      </c>
      <c r="E90" s="17" t="s">
        <v>5</v>
      </c>
      <c r="F90" s="13">
        <v>32</v>
      </c>
      <c r="G90" s="13">
        <v>6</v>
      </c>
      <c r="H90" s="15">
        <v>0</v>
      </c>
      <c r="I90" s="13">
        <v>1</v>
      </c>
      <c r="J90" s="15">
        <v>0</v>
      </c>
    </row>
    <row r="91" spans="1:15" x14ac:dyDescent="0.35">
      <c r="A91" s="73"/>
      <c r="B91" s="73"/>
      <c r="C91" s="73"/>
      <c r="D91" s="16" t="s">
        <v>74</v>
      </c>
      <c r="E91" s="17" t="s">
        <v>6</v>
      </c>
      <c r="F91" s="13">
        <v>37</v>
      </c>
      <c r="G91" s="13">
        <v>18</v>
      </c>
      <c r="H91" s="15">
        <v>0</v>
      </c>
      <c r="I91" s="13">
        <v>1</v>
      </c>
      <c r="J91" s="15">
        <v>0</v>
      </c>
      <c r="K91" s="2">
        <f>SUM(F86:F91)</f>
        <v>491</v>
      </c>
      <c r="L91" s="2">
        <f t="shared" ref="L91:O91" si="13">SUM(G86:G91)</f>
        <v>69</v>
      </c>
      <c r="M91" s="2">
        <f t="shared" si="13"/>
        <v>2</v>
      </c>
      <c r="N91" s="2">
        <f t="shared" si="13"/>
        <v>13</v>
      </c>
      <c r="O91" s="2">
        <f t="shared" si="13"/>
        <v>5</v>
      </c>
    </row>
    <row r="92" spans="1:15" x14ac:dyDescent="0.35">
      <c r="A92" s="3" t="s">
        <v>367</v>
      </c>
      <c r="B92" s="3" t="s">
        <v>368</v>
      </c>
      <c r="C92" s="3">
        <v>2814</v>
      </c>
      <c r="D92" s="16" t="s">
        <v>75</v>
      </c>
      <c r="E92" s="17" t="s">
        <v>17</v>
      </c>
      <c r="F92" s="12">
        <v>141</v>
      </c>
      <c r="G92" s="12">
        <v>11</v>
      </c>
      <c r="H92" s="14">
        <v>0</v>
      </c>
      <c r="I92" s="12">
        <v>7</v>
      </c>
      <c r="J92" s="12">
        <v>2</v>
      </c>
    </row>
    <row r="93" spans="1:15" x14ac:dyDescent="0.35">
      <c r="A93" s="79"/>
      <c r="B93" s="79"/>
      <c r="C93" s="79"/>
      <c r="D93" s="16" t="s">
        <v>75</v>
      </c>
      <c r="E93" s="17" t="s">
        <v>2</v>
      </c>
      <c r="F93" s="12">
        <v>100</v>
      </c>
      <c r="G93" s="12">
        <v>23</v>
      </c>
      <c r="H93" s="12">
        <v>3</v>
      </c>
      <c r="I93" s="12">
        <v>9</v>
      </c>
      <c r="J93" s="14">
        <v>0</v>
      </c>
    </row>
    <row r="94" spans="1:15" x14ac:dyDescent="0.35">
      <c r="A94" s="79"/>
      <c r="B94" s="79"/>
      <c r="C94" s="79"/>
      <c r="D94" s="16" t="s">
        <v>75</v>
      </c>
      <c r="E94" s="17" t="s">
        <v>3</v>
      </c>
      <c r="F94" s="12">
        <v>202</v>
      </c>
      <c r="G94" s="12">
        <v>10</v>
      </c>
      <c r="H94" s="12">
        <v>2</v>
      </c>
      <c r="I94" s="12">
        <v>5</v>
      </c>
      <c r="J94" s="14">
        <v>1</v>
      </c>
    </row>
    <row r="95" spans="1:15" x14ac:dyDescent="0.35">
      <c r="A95" s="79"/>
      <c r="B95" s="79"/>
      <c r="C95" s="79"/>
      <c r="D95" s="16" t="s">
        <v>75</v>
      </c>
      <c r="E95" s="17" t="s">
        <v>4</v>
      </c>
      <c r="F95" s="12">
        <v>33</v>
      </c>
      <c r="G95" s="12">
        <v>9</v>
      </c>
      <c r="H95" s="12">
        <v>4</v>
      </c>
      <c r="I95" s="12">
        <v>1</v>
      </c>
      <c r="J95" s="14">
        <v>1</v>
      </c>
    </row>
    <row r="96" spans="1:15" x14ac:dyDescent="0.35">
      <c r="A96" s="79"/>
      <c r="B96" s="79"/>
      <c r="C96" s="79"/>
      <c r="D96" s="16" t="s">
        <v>75</v>
      </c>
      <c r="E96" s="17" t="s">
        <v>5</v>
      </c>
      <c r="F96" s="12">
        <v>57</v>
      </c>
      <c r="G96" s="12">
        <v>16</v>
      </c>
      <c r="H96" s="14">
        <v>0</v>
      </c>
      <c r="I96" s="14">
        <v>0</v>
      </c>
      <c r="J96" s="14">
        <v>0</v>
      </c>
    </row>
    <row r="97" spans="1:15" x14ac:dyDescent="0.35">
      <c r="A97" s="79"/>
      <c r="B97" s="79"/>
      <c r="C97" s="79"/>
      <c r="D97" s="16" t="s">
        <v>75</v>
      </c>
      <c r="E97" s="17" t="s">
        <v>6</v>
      </c>
      <c r="F97" s="12">
        <v>133</v>
      </c>
      <c r="G97" s="12">
        <v>12</v>
      </c>
      <c r="H97" s="12">
        <v>6</v>
      </c>
      <c r="I97" s="12">
        <v>7</v>
      </c>
      <c r="J97" s="12">
        <v>1</v>
      </c>
    </row>
    <row r="98" spans="1:15" x14ac:dyDescent="0.35">
      <c r="A98" s="79"/>
      <c r="B98" s="79"/>
      <c r="C98" s="79"/>
      <c r="D98" s="16" t="s">
        <v>75</v>
      </c>
      <c r="E98" s="17" t="s">
        <v>7</v>
      </c>
      <c r="F98" s="12">
        <v>104</v>
      </c>
      <c r="G98" s="12">
        <v>63</v>
      </c>
      <c r="H98" s="12">
        <v>2</v>
      </c>
      <c r="I98" s="12">
        <v>12</v>
      </c>
      <c r="J98" s="14">
        <v>3</v>
      </c>
    </row>
    <row r="99" spans="1:15" x14ac:dyDescent="0.35">
      <c r="A99" s="79"/>
      <c r="B99" s="79"/>
      <c r="C99" s="79"/>
      <c r="D99" s="16" t="s">
        <v>75</v>
      </c>
      <c r="E99" s="17" t="s">
        <v>8</v>
      </c>
      <c r="F99" s="12">
        <v>114</v>
      </c>
      <c r="G99" s="12">
        <v>18</v>
      </c>
      <c r="H99" s="12">
        <v>3</v>
      </c>
      <c r="I99" s="12">
        <v>2</v>
      </c>
      <c r="J99" s="14">
        <v>1</v>
      </c>
    </row>
    <row r="100" spans="1:15" x14ac:dyDescent="0.35">
      <c r="A100" s="79"/>
      <c r="B100" s="79"/>
      <c r="C100" s="79"/>
      <c r="D100" s="16" t="s">
        <v>75</v>
      </c>
      <c r="E100" s="17" t="s">
        <v>9</v>
      </c>
      <c r="F100" s="12">
        <v>93</v>
      </c>
      <c r="G100" s="12">
        <v>36</v>
      </c>
      <c r="H100" s="14">
        <v>0</v>
      </c>
      <c r="I100" s="12">
        <v>3</v>
      </c>
      <c r="J100" s="14">
        <v>2</v>
      </c>
    </row>
    <row r="101" spans="1:15" x14ac:dyDescent="0.35">
      <c r="A101" s="79"/>
      <c r="B101" s="79"/>
      <c r="C101" s="79"/>
      <c r="D101" s="16" t="s">
        <v>75</v>
      </c>
      <c r="E101" s="17" t="s">
        <v>11</v>
      </c>
      <c r="F101" s="12">
        <v>80</v>
      </c>
      <c r="G101" s="12">
        <v>39</v>
      </c>
      <c r="H101" s="12">
        <v>2</v>
      </c>
      <c r="I101" s="12">
        <v>3</v>
      </c>
      <c r="J101" s="14">
        <v>2</v>
      </c>
    </row>
    <row r="102" spans="1:15" x14ac:dyDescent="0.35">
      <c r="A102" s="79"/>
      <c r="B102" s="79"/>
      <c r="C102" s="79"/>
      <c r="D102" s="16" t="s">
        <v>75</v>
      </c>
      <c r="E102" s="17" t="s">
        <v>12</v>
      </c>
      <c r="F102" s="12">
        <v>90</v>
      </c>
      <c r="G102" s="12">
        <v>54</v>
      </c>
      <c r="H102" s="12">
        <v>3</v>
      </c>
      <c r="I102" s="12">
        <v>13</v>
      </c>
      <c r="J102" s="14">
        <v>2</v>
      </c>
    </row>
    <row r="103" spans="1:15" x14ac:dyDescent="0.35">
      <c r="A103" s="79"/>
      <c r="B103" s="79"/>
      <c r="C103" s="79"/>
      <c r="D103" s="16" t="s">
        <v>75</v>
      </c>
      <c r="E103" s="17" t="s">
        <v>13</v>
      </c>
      <c r="F103" s="12">
        <v>22</v>
      </c>
      <c r="G103" s="12">
        <v>10</v>
      </c>
      <c r="H103" s="14">
        <v>0</v>
      </c>
      <c r="I103" s="12">
        <v>1</v>
      </c>
      <c r="J103" s="12">
        <v>0</v>
      </c>
    </row>
    <row r="104" spans="1:15" x14ac:dyDescent="0.35">
      <c r="A104" s="79"/>
      <c r="B104" s="79"/>
      <c r="C104" s="79"/>
      <c r="D104" s="16" t="s">
        <v>75</v>
      </c>
      <c r="E104" s="17" t="s">
        <v>21</v>
      </c>
      <c r="F104" s="12">
        <v>43</v>
      </c>
      <c r="G104" s="12">
        <v>27</v>
      </c>
      <c r="H104" s="14">
        <v>0</v>
      </c>
      <c r="I104" s="12">
        <v>4</v>
      </c>
      <c r="J104" s="14">
        <v>1</v>
      </c>
      <c r="K104" s="2">
        <f>SUM(F92:F104)</f>
        <v>1212</v>
      </c>
      <c r="L104" s="2">
        <f t="shared" ref="L104:O104" si="14">SUM(G92:G104)</f>
        <v>328</v>
      </c>
      <c r="M104" s="2">
        <f t="shared" si="14"/>
        <v>25</v>
      </c>
      <c r="N104" s="2">
        <f t="shared" si="14"/>
        <v>67</v>
      </c>
      <c r="O104" s="2">
        <f t="shared" si="14"/>
        <v>16</v>
      </c>
    </row>
    <row r="105" spans="1:15" x14ac:dyDescent="0.35">
      <c r="A105" s="6" t="s">
        <v>369</v>
      </c>
      <c r="B105" s="6" t="s">
        <v>370</v>
      </c>
      <c r="C105" s="6">
        <v>1846</v>
      </c>
      <c r="D105" s="16" t="s">
        <v>76</v>
      </c>
      <c r="E105" s="17" t="s">
        <v>17</v>
      </c>
      <c r="F105" s="13">
        <v>153</v>
      </c>
      <c r="G105" s="13">
        <v>33</v>
      </c>
      <c r="H105" s="13">
        <v>2</v>
      </c>
      <c r="I105" s="13">
        <v>15</v>
      </c>
      <c r="J105" s="13">
        <v>0</v>
      </c>
    </row>
    <row r="106" spans="1:15" x14ac:dyDescent="0.35">
      <c r="A106" s="73"/>
      <c r="B106" s="73"/>
      <c r="C106" s="73"/>
      <c r="D106" s="16" t="s">
        <v>76</v>
      </c>
      <c r="E106" s="17" t="s">
        <v>2</v>
      </c>
      <c r="F106" s="13">
        <v>108</v>
      </c>
      <c r="G106" s="13">
        <v>76</v>
      </c>
      <c r="H106" s="13">
        <v>4</v>
      </c>
      <c r="I106" s="13">
        <v>9</v>
      </c>
      <c r="J106" s="15">
        <v>0</v>
      </c>
    </row>
    <row r="107" spans="1:15" x14ac:dyDescent="0.35">
      <c r="A107" s="73"/>
      <c r="B107" s="73"/>
      <c r="C107" s="73"/>
      <c r="D107" s="16" t="s">
        <v>76</v>
      </c>
      <c r="E107" s="17" t="s">
        <v>3</v>
      </c>
      <c r="F107" s="13">
        <v>125</v>
      </c>
      <c r="G107" s="13">
        <v>39</v>
      </c>
      <c r="H107" s="13">
        <v>1</v>
      </c>
      <c r="I107" s="13">
        <v>7</v>
      </c>
      <c r="J107" s="15">
        <v>2</v>
      </c>
    </row>
    <row r="108" spans="1:15" x14ac:dyDescent="0.35">
      <c r="A108" s="73"/>
      <c r="B108" s="73"/>
      <c r="C108" s="73"/>
      <c r="D108" s="16" t="s">
        <v>76</v>
      </c>
      <c r="E108" s="17" t="s">
        <v>4</v>
      </c>
      <c r="F108" s="13">
        <v>109</v>
      </c>
      <c r="G108" s="13">
        <v>29</v>
      </c>
      <c r="H108" s="13">
        <v>4</v>
      </c>
      <c r="I108" s="13">
        <v>6</v>
      </c>
      <c r="J108" s="15">
        <v>0</v>
      </c>
    </row>
    <row r="109" spans="1:15" x14ac:dyDescent="0.35">
      <c r="A109" s="73"/>
      <c r="B109" s="73"/>
      <c r="C109" s="73"/>
      <c r="D109" s="16" t="s">
        <v>76</v>
      </c>
      <c r="E109" s="17" t="s">
        <v>5</v>
      </c>
      <c r="F109" s="13">
        <v>167</v>
      </c>
      <c r="G109" s="13">
        <v>29</v>
      </c>
      <c r="H109" s="13">
        <v>2</v>
      </c>
      <c r="I109" s="13">
        <v>8</v>
      </c>
      <c r="J109" s="15">
        <v>1</v>
      </c>
    </row>
    <row r="110" spans="1:15" x14ac:dyDescent="0.35">
      <c r="A110" s="73"/>
      <c r="B110" s="73"/>
      <c r="C110" s="73"/>
      <c r="D110" s="16" t="s">
        <v>76</v>
      </c>
      <c r="E110" s="17" t="s">
        <v>6</v>
      </c>
      <c r="F110" s="13">
        <v>125</v>
      </c>
      <c r="G110" s="13">
        <v>48</v>
      </c>
      <c r="H110" s="13">
        <v>3</v>
      </c>
      <c r="I110" s="13">
        <v>4</v>
      </c>
      <c r="J110" s="15">
        <v>0</v>
      </c>
    </row>
    <row r="111" spans="1:15" x14ac:dyDescent="0.35">
      <c r="A111" s="73"/>
      <c r="B111" s="73"/>
      <c r="C111" s="73"/>
      <c r="D111" s="16" t="s">
        <v>76</v>
      </c>
      <c r="E111" s="17" t="s">
        <v>7</v>
      </c>
      <c r="F111" s="13">
        <v>38</v>
      </c>
      <c r="G111" s="13">
        <v>24</v>
      </c>
      <c r="H111" s="13">
        <v>3</v>
      </c>
      <c r="I111" s="13">
        <v>2</v>
      </c>
      <c r="J111" s="13">
        <v>0</v>
      </c>
    </row>
    <row r="112" spans="1:15" x14ac:dyDescent="0.35">
      <c r="A112" s="73"/>
      <c r="B112" s="73"/>
      <c r="C112" s="73"/>
      <c r="D112" s="16" t="s">
        <v>76</v>
      </c>
      <c r="E112" s="17" t="s">
        <v>8</v>
      </c>
      <c r="F112" s="13">
        <v>83</v>
      </c>
      <c r="G112" s="13">
        <v>46</v>
      </c>
      <c r="H112" s="15">
        <v>0</v>
      </c>
      <c r="I112" s="13">
        <v>6</v>
      </c>
      <c r="J112" s="15">
        <v>1</v>
      </c>
      <c r="K112" s="2">
        <f>SUM(F105:F112)</f>
        <v>908</v>
      </c>
      <c r="L112" s="2">
        <f t="shared" ref="L112:O112" si="15">SUM(G105:G112)</f>
        <v>324</v>
      </c>
      <c r="M112" s="2">
        <f t="shared" si="15"/>
        <v>19</v>
      </c>
      <c r="N112" s="2">
        <f t="shared" si="15"/>
        <v>57</v>
      </c>
      <c r="O112" s="2">
        <f t="shared" si="15"/>
        <v>4</v>
      </c>
    </row>
    <row r="113" spans="1:15" x14ac:dyDescent="0.35">
      <c r="A113" s="3" t="s">
        <v>371</v>
      </c>
      <c r="B113" s="3" t="s">
        <v>283</v>
      </c>
      <c r="C113" s="3">
        <v>887</v>
      </c>
      <c r="D113" s="16" t="s">
        <v>31</v>
      </c>
      <c r="E113" s="17" t="s">
        <v>17</v>
      </c>
      <c r="F113" s="12">
        <v>53</v>
      </c>
      <c r="G113" s="12">
        <v>22</v>
      </c>
      <c r="H113" s="14">
        <v>0</v>
      </c>
      <c r="I113" s="14">
        <v>2</v>
      </c>
      <c r="J113" s="14">
        <v>0</v>
      </c>
    </row>
    <row r="114" spans="1:15" x14ac:dyDescent="0.35">
      <c r="A114" s="79"/>
      <c r="B114" s="79"/>
      <c r="C114" s="79"/>
      <c r="D114" s="16" t="s">
        <v>31</v>
      </c>
      <c r="E114" s="17" t="s">
        <v>2</v>
      </c>
      <c r="F114" s="12">
        <v>110</v>
      </c>
      <c r="G114" s="12">
        <v>29</v>
      </c>
      <c r="H114" s="12">
        <v>3</v>
      </c>
      <c r="I114" s="12">
        <v>6</v>
      </c>
      <c r="J114" s="14">
        <v>0</v>
      </c>
    </row>
    <row r="115" spans="1:15" x14ac:dyDescent="0.35">
      <c r="A115" s="79"/>
      <c r="B115" s="79"/>
      <c r="C115" s="79"/>
      <c r="D115" s="16" t="s">
        <v>31</v>
      </c>
      <c r="E115" s="17" t="s">
        <v>3</v>
      </c>
      <c r="F115" s="12">
        <v>60</v>
      </c>
      <c r="G115" s="12">
        <v>16</v>
      </c>
      <c r="H115" s="12">
        <v>3</v>
      </c>
      <c r="I115" s="12">
        <v>1</v>
      </c>
      <c r="J115" s="12">
        <v>1</v>
      </c>
    </row>
    <row r="116" spans="1:15" x14ac:dyDescent="0.35">
      <c r="A116" s="79"/>
      <c r="B116" s="79"/>
      <c r="C116" s="79"/>
      <c r="D116" s="16" t="s">
        <v>31</v>
      </c>
      <c r="E116" s="17" t="s">
        <v>4</v>
      </c>
      <c r="F116" s="12">
        <v>23</v>
      </c>
      <c r="G116" s="12">
        <v>4</v>
      </c>
      <c r="H116" s="14">
        <v>0</v>
      </c>
      <c r="I116" s="12">
        <v>1</v>
      </c>
      <c r="J116" s="14">
        <v>0</v>
      </c>
    </row>
    <row r="117" spans="1:15" x14ac:dyDescent="0.35">
      <c r="A117" s="79"/>
      <c r="B117" s="79"/>
      <c r="C117" s="79"/>
      <c r="D117" s="16" t="s">
        <v>31</v>
      </c>
      <c r="E117" s="17" t="s">
        <v>5</v>
      </c>
      <c r="F117" s="12">
        <v>52</v>
      </c>
      <c r="G117" s="12">
        <v>16</v>
      </c>
      <c r="H117" s="14">
        <v>0</v>
      </c>
      <c r="I117" s="12">
        <v>2</v>
      </c>
      <c r="J117" s="14">
        <v>1</v>
      </c>
    </row>
    <row r="118" spans="1:15" x14ac:dyDescent="0.35">
      <c r="A118" s="79"/>
      <c r="B118" s="79"/>
      <c r="C118" s="79"/>
      <c r="D118" s="16" t="s">
        <v>31</v>
      </c>
      <c r="E118" s="17" t="s">
        <v>6</v>
      </c>
      <c r="F118" s="12">
        <v>88</v>
      </c>
      <c r="G118" s="12">
        <v>7</v>
      </c>
      <c r="H118" s="12">
        <v>2</v>
      </c>
      <c r="I118" s="12">
        <v>2</v>
      </c>
      <c r="J118" s="14">
        <v>0</v>
      </c>
      <c r="K118" s="2">
        <f>SUM(F113:F118)</f>
        <v>386</v>
      </c>
      <c r="L118" s="2">
        <f t="shared" ref="L118:O118" si="16">SUM(G113:G118)</f>
        <v>94</v>
      </c>
      <c r="M118" s="2">
        <f t="shared" si="16"/>
        <v>8</v>
      </c>
      <c r="N118" s="2">
        <f t="shared" si="16"/>
        <v>14</v>
      </c>
      <c r="O118" s="2">
        <f t="shared" si="16"/>
        <v>2</v>
      </c>
    </row>
    <row r="119" spans="1:15" x14ac:dyDescent="0.35">
      <c r="A119" s="6" t="s">
        <v>491</v>
      </c>
      <c r="B119" s="6" t="s">
        <v>492</v>
      </c>
      <c r="C119" s="6">
        <v>1225</v>
      </c>
      <c r="D119" s="16" t="s">
        <v>77</v>
      </c>
      <c r="E119" s="17" t="s">
        <v>0</v>
      </c>
      <c r="F119" s="13">
        <v>0</v>
      </c>
      <c r="G119" s="13">
        <v>0</v>
      </c>
      <c r="H119" s="13">
        <v>0</v>
      </c>
      <c r="I119" s="13">
        <v>0</v>
      </c>
      <c r="J119" s="15">
        <v>0</v>
      </c>
    </row>
    <row r="120" spans="1:15" x14ac:dyDescent="0.35">
      <c r="A120" s="73"/>
      <c r="B120" s="73"/>
      <c r="C120" s="73"/>
      <c r="D120" s="16" t="s">
        <v>77</v>
      </c>
      <c r="E120" s="17" t="s">
        <v>17</v>
      </c>
      <c r="F120" s="13">
        <v>125</v>
      </c>
      <c r="G120" s="15">
        <v>0</v>
      </c>
      <c r="H120" s="15">
        <v>0</v>
      </c>
      <c r="I120" s="13">
        <v>3</v>
      </c>
      <c r="J120" s="15">
        <v>1</v>
      </c>
    </row>
    <row r="121" spans="1:15" x14ac:dyDescent="0.35">
      <c r="A121" s="73"/>
      <c r="B121" s="73"/>
      <c r="C121" s="73"/>
      <c r="D121" s="16" t="s">
        <v>77</v>
      </c>
      <c r="E121" s="17" t="s">
        <v>2</v>
      </c>
      <c r="F121" s="13">
        <v>89</v>
      </c>
      <c r="G121" s="13">
        <v>7</v>
      </c>
      <c r="H121" s="13">
        <v>2</v>
      </c>
      <c r="I121" s="13">
        <v>1</v>
      </c>
      <c r="J121" s="15">
        <v>0</v>
      </c>
    </row>
    <row r="122" spans="1:15" x14ac:dyDescent="0.35">
      <c r="A122" s="73"/>
      <c r="B122" s="73"/>
      <c r="C122" s="73"/>
      <c r="D122" s="16" t="s">
        <v>77</v>
      </c>
      <c r="E122" s="17" t="s">
        <v>3</v>
      </c>
      <c r="F122" s="13">
        <v>113</v>
      </c>
      <c r="G122" s="13">
        <v>6</v>
      </c>
      <c r="H122" s="13">
        <v>1</v>
      </c>
      <c r="I122" s="13">
        <v>3</v>
      </c>
      <c r="J122" s="15">
        <v>0</v>
      </c>
    </row>
    <row r="123" spans="1:15" x14ac:dyDescent="0.35">
      <c r="A123" s="73"/>
      <c r="B123" s="73"/>
      <c r="C123" s="73"/>
      <c r="D123" s="16" t="s">
        <v>77</v>
      </c>
      <c r="E123" s="17" t="s">
        <v>4</v>
      </c>
      <c r="F123" s="13">
        <v>277</v>
      </c>
      <c r="G123" s="13">
        <v>32</v>
      </c>
      <c r="H123" s="13">
        <v>7</v>
      </c>
      <c r="I123" s="13">
        <v>9</v>
      </c>
      <c r="J123" s="15">
        <v>0</v>
      </c>
    </row>
    <row r="124" spans="1:15" x14ac:dyDescent="0.35">
      <c r="A124" s="73"/>
      <c r="B124" s="73"/>
      <c r="C124" s="73"/>
      <c r="D124" s="16" t="s">
        <v>77</v>
      </c>
      <c r="E124" s="17" t="s">
        <v>5</v>
      </c>
      <c r="F124" s="13">
        <v>202</v>
      </c>
      <c r="G124" s="13">
        <v>23</v>
      </c>
      <c r="H124" s="13">
        <v>16</v>
      </c>
      <c r="I124" s="13">
        <v>4</v>
      </c>
      <c r="J124" s="15">
        <v>2</v>
      </c>
      <c r="K124" s="2">
        <f>SUM(F119:F124)</f>
        <v>806</v>
      </c>
      <c r="L124" s="2">
        <f t="shared" ref="L124:O124" si="17">SUM(G119:G124)</f>
        <v>68</v>
      </c>
      <c r="M124" s="2">
        <f t="shared" si="17"/>
        <v>26</v>
      </c>
      <c r="N124" s="2">
        <f t="shared" si="17"/>
        <v>20</v>
      </c>
      <c r="O124" s="2">
        <f t="shared" si="17"/>
        <v>3</v>
      </c>
    </row>
    <row r="125" spans="1:15" x14ac:dyDescent="0.35">
      <c r="A125" s="3" t="s">
        <v>493</v>
      </c>
      <c r="B125" s="3" t="s">
        <v>494</v>
      </c>
      <c r="C125" s="3">
        <v>1414</v>
      </c>
      <c r="D125" s="16" t="s">
        <v>78</v>
      </c>
      <c r="E125" s="17" t="s">
        <v>17</v>
      </c>
      <c r="F125" s="12">
        <v>255</v>
      </c>
      <c r="G125" s="12">
        <v>33</v>
      </c>
      <c r="H125" s="12">
        <v>18</v>
      </c>
      <c r="I125" s="12">
        <v>10</v>
      </c>
      <c r="J125" s="14">
        <v>1</v>
      </c>
    </row>
    <row r="126" spans="1:15" x14ac:dyDescent="0.35">
      <c r="A126" s="3" t="s">
        <v>495</v>
      </c>
      <c r="B126" s="3" t="s">
        <v>496</v>
      </c>
      <c r="C126" s="3">
        <v>1557</v>
      </c>
      <c r="D126" s="16" t="s">
        <v>78</v>
      </c>
      <c r="E126" s="17" t="s">
        <v>2</v>
      </c>
      <c r="F126" s="12">
        <v>385</v>
      </c>
      <c r="G126" s="12">
        <v>22</v>
      </c>
      <c r="H126" s="12">
        <v>17</v>
      </c>
      <c r="I126" s="12">
        <v>11</v>
      </c>
      <c r="J126" s="14">
        <v>1</v>
      </c>
    </row>
    <row r="127" spans="1:15" x14ac:dyDescent="0.35">
      <c r="A127" s="79"/>
      <c r="B127" s="79"/>
      <c r="C127" s="79"/>
      <c r="D127" s="16" t="s">
        <v>78</v>
      </c>
      <c r="E127" s="17" t="s">
        <v>3</v>
      </c>
      <c r="F127" s="12">
        <v>269</v>
      </c>
      <c r="G127" s="12">
        <v>151</v>
      </c>
      <c r="H127" s="12">
        <v>24</v>
      </c>
      <c r="I127" s="12">
        <v>23</v>
      </c>
      <c r="J127" s="14">
        <v>3</v>
      </c>
    </row>
    <row r="128" spans="1:15" x14ac:dyDescent="0.35">
      <c r="A128" s="79"/>
      <c r="B128" s="79"/>
      <c r="C128" s="79"/>
      <c r="D128" s="16" t="s">
        <v>78</v>
      </c>
      <c r="E128" s="17" t="s">
        <v>4</v>
      </c>
      <c r="F128" s="12">
        <v>307</v>
      </c>
      <c r="G128" s="12">
        <v>58</v>
      </c>
      <c r="H128" s="12">
        <v>6</v>
      </c>
      <c r="I128" s="12">
        <v>10</v>
      </c>
      <c r="J128" s="14">
        <v>2</v>
      </c>
      <c r="K128" s="2">
        <f>SUM(F126:F128)</f>
        <v>961</v>
      </c>
      <c r="L128" s="2">
        <f t="shared" ref="L128:O128" si="18">SUM(G126:G128)</f>
        <v>231</v>
      </c>
      <c r="M128" s="2">
        <f t="shared" si="18"/>
        <v>47</v>
      </c>
      <c r="N128" s="2">
        <f t="shared" si="18"/>
        <v>44</v>
      </c>
      <c r="O128" s="2">
        <f t="shared" si="18"/>
        <v>6</v>
      </c>
    </row>
    <row r="129" spans="1:15" x14ac:dyDescent="0.35">
      <c r="A129" s="6" t="s">
        <v>497</v>
      </c>
      <c r="B129" s="6" t="s">
        <v>498</v>
      </c>
      <c r="C129" s="6">
        <v>721</v>
      </c>
      <c r="D129" s="16" t="s">
        <v>79</v>
      </c>
      <c r="E129" s="17" t="s">
        <v>17</v>
      </c>
      <c r="F129" s="13">
        <v>214</v>
      </c>
      <c r="G129" s="13">
        <v>45</v>
      </c>
      <c r="H129" s="15">
        <v>0</v>
      </c>
      <c r="I129" s="13">
        <v>7</v>
      </c>
      <c r="J129" s="15">
        <v>0</v>
      </c>
    </row>
    <row r="130" spans="1:15" x14ac:dyDescent="0.35">
      <c r="A130" s="73"/>
      <c r="B130" s="73"/>
      <c r="C130" s="73"/>
      <c r="D130" s="16" t="s">
        <v>79</v>
      </c>
      <c r="E130" s="17" t="s">
        <v>2</v>
      </c>
      <c r="F130" s="13">
        <v>68</v>
      </c>
      <c r="G130" s="13">
        <v>30</v>
      </c>
      <c r="H130" s="15">
        <v>0</v>
      </c>
      <c r="I130" s="13">
        <v>6</v>
      </c>
      <c r="J130" s="15">
        <v>0</v>
      </c>
    </row>
    <row r="131" spans="1:15" x14ac:dyDescent="0.35">
      <c r="A131" s="73"/>
      <c r="B131" s="73"/>
      <c r="C131" s="73"/>
      <c r="D131" s="16" t="s">
        <v>79</v>
      </c>
      <c r="E131" s="17" t="s">
        <v>3</v>
      </c>
      <c r="F131" s="13">
        <v>131</v>
      </c>
      <c r="G131" s="13">
        <v>23</v>
      </c>
      <c r="H131" s="13">
        <v>5</v>
      </c>
      <c r="I131" s="13">
        <v>5</v>
      </c>
      <c r="J131" s="15">
        <v>0</v>
      </c>
    </row>
    <row r="132" spans="1:15" x14ac:dyDescent="0.35">
      <c r="A132" s="73"/>
      <c r="B132" s="73"/>
      <c r="C132" s="73"/>
      <c r="D132" s="16" t="s">
        <v>79</v>
      </c>
      <c r="E132" s="17" t="s">
        <v>4</v>
      </c>
      <c r="F132" s="13">
        <v>92</v>
      </c>
      <c r="G132" s="13">
        <v>22</v>
      </c>
      <c r="H132" s="13">
        <v>3</v>
      </c>
      <c r="I132" s="13">
        <v>1</v>
      </c>
      <c r="J132" s="15">
        <v>0</v>
      </c>
      <c r="K132" s="2">
        <f>SUM(F129:F132)</f>
        <v>505</v>
      </c>
      <c r="L132" s="2">
        <f t="shared" ref="L132:O132" si="19">SUM(G129:G132)</f>
        <v>120</v>
      </c>
      <c r="M132" s="2">
        <f t="shared" si="19"/>
        <v>8</v>
      </c>
      <c r="N132" s="2">
        <f t="shared" si="19"/>
        <v>19</v>
      </c>
      <c r="O132" s="2">
        <f t="shared" si="19"/>
        <v>0</v>
      </c>
    </row>
    <row r="133" spans="1:15" x14ac:dyDescent="0.35">
      <c r="A133" s="3" t="s">
        <v>499</v>
      </c>
      <c r="B133" s="3" t="s">
        <v>500</v>
      </c>
      <c r="C133" s="3">
        <v>854</v>
      </c>
      <c r="D133" s="16" t="s">
        <v>80</v>
      </c>
      <c r="E133" s="17" t="s">
        <v>17</v>
      </c>
      <c r="F133" s="12">
        <v>96</v>
      </c>
      <c r="G133" s="12">
        <v>16</v>
      </c>
      <c r="H133" s="14">
        <v>3</v>
      </c>
      <c r="I133" s="12">
        <v>8</v>
      </c>
      <c r="J133" s="14">
        <v>0</v>
      </c>
    </row>
    <row r="134" spans="1:15" x14ac:dyDescent="0.35">
      <c r="A134" s="79"/>
      <c r="B134" s="79"/>
      <c r="C134" s="79"/>
      <c r="D134" s="16" t="s">
        <v>80</v>
      </c>
      <c r="E134" s="17" t="s">
        <v>2</v>
      </c>
      <c r="F134" s="12">
        <v>137</v>
      </c>
      <c r="G134" s="12">
        <v>16</v>
      </c>
      <c r="H134" s="12">
        <v>7</v>
      </c>
      <c r="I134" s="12">
        <v>2</v>
      </c>
      <c r="J134" s="14">
        <v>0</v>
      </c>
    </row>
    <row r="135" spans="1:15" x14ac:dyDescent="0.35">
      <c r="A135" s="79"/>
      <c r="B135" s="79"/>
      <c r="C135" s="79"/>
      <c r="D135" s="16" t="s">
        <v>80</v>
      </c>
      <c r="E135" s="17" t="s">
        <v>3</v>
      </c>
      <c r="F135" s="12">
        <v>177</v>
      </c>
      <c r="G135" s="12">
        <v>29</v>
      </c>
      <c r="H135" s="12">
        <v>5</v>
      </c>
      <c r="I135" s="12">
        <v>5</v>
      </c>
      <c r="J135" s="14">
        <v>0</v>
      </c>
    </row>
    <row r="136" spans="1:15" x14ac:dyDescent="0.35">
      <c r="A136" s="79"/>
      <c r="B136" s="79"/>
      <c r="C136" s="79"/>
      <c r="D136" s="16" t="s">
        <v>80</v>
      </c>
      <c r="E136" s="17" t="s">
        <v>4</v>
      </c>
      <c r="F136" s="12">
        <v>118</v>
      </c>
      <c r="G136" s="12">
        <v>23</v>
      </c>
      <c r="H136" s="14">
        <v>0</v>
      </c>
      <c r="I136" s="12">
        <v>6</v>
      </c>
      <c r="J136" s="14">
        <v>0</v>
      </c>
      <c r="K136" s="2">
        <f>SUM(F133:F136)</f>
        <v>528</v>
      </c>
      <c r="L136" s="2">
        <f t="shared" ref="L136:O136" si="20">SUM(G133:G136)</f>
        <v>84</v>
      </c>
      <c r="M136" s="2">
        <f t="shared" si="20"/>
        <v>15</v>
      </c>
      <c r="N136" s="2">
        <f t="shared" si="20"/>
        <v>21</v>
      </c>
      <c r="O136" s="2">
        <f t="shared" si="20"/>
        <v>0</v>
      </c>
    </row>
    <row r="137" spans="1:15" x14ac:dyDescent="0.35">
      <c r="A137" s="6" t="s">
        <v>372</v>
      </c>
      <c r="B137" s="6" t="s">
        <v>373</v>
      </c>
      <c r="C137" s="6">
        <v>1484</v>
      </c>
      <c r="D137" s="16" t="s">
        <v>81</v>
      </c>
      <c r="E137" s="17" t="s">
        <v>17</v>
      </c>
      <c r="F137" s="13">
        <v>80</v>
      </c>
      <c r="G137" s="13">
        <v>31</v>
      </c>
      <c r="H137" s="13">
        <v>2</v>
      </c>
      <c r="I137" s="13">
        <v>3</v>
      </c>
      <c r="J137" s="15">
        <v>0</v>
      </c>
    </row>
    <row r="138" spans="1:15" x14ac:dyDescent="0.35">
      <c r="A138" s="73"/>
      <c r="B138" s="73"/>
      <c r="C138" s="73"/>
      <c r="D138" s="16" t="s">
        <v>81</v>
      </c>
      <c r="E138" s="17" t="s">
        <v>2</v>
      </c>
      <c r="F138" s="13">
        <v>31</v>
      </c>
      <c r="G138" s="13">
        <v>20</v>
      </c>
      <c r="H138" s="15">
        <v>0</v>
      </c>
      <c r="I138" s="15">
        <v>0</v>
      </c>
      <c r="J138" s="15">
        <v>0</v>
      </c>
    </row>
    <row r="139" spans="1:15" x14ac:dyDescent="0.35">
      <c r="A139" s="73"/>
      <c r="B139" s="73"/>
      <c r="C139" s="73"/>
      <c r="D139" s="16" t="s">
        <v>81</v>
      </c>
      <c r="E139" s="17" t="s">
        <v>3</v>
      </c>
      <c r="F139" s="13">
        <v>147</v>
      </c>
      <c r="G139" s="13">
        <v>33</v>
      </c>
      <c r="H139" s="13">
        <v>3</v>
      </c>
      <c r="I139" s="13">
        <v>7</v>
      </c>
      <c r="J139" s="15">
        <v>1</v>
      </c>
    </row>
    <row r="140" spans="1:15" x14ac:dyDescent="0.35">
      <c r="A140" s="73"/>
      <c r="B140" s="73"/>
      <c r="C140" s="73"/>
      <c r="D140" s="16" t="s">
        <v>81</v>
      </c>
      <c r="E140" s="17" t="s">
        <v>4</v>
      </c>
      <c r="F140" s="13">
        <v>103</v>
      </c>
      <c r="G140" s="13">
        <v>73</v>
      </c>
      <c r="H140" s="13">
        <v>13</v>
      </c>
      <c r="I140" s="13">
        <v>5</v>
      </c>
      <c r="J140" s="15">
        <v>0</v>
      </c>
    </row>
    <row r="141" spans="1:15" x14ac:dyDescent="0.35">
      <c r="A141" s="73"/>
      <c r="B141" s="73"/>
      <c r="C141" s="73"/>
      <c r="D141" s="16" t="s">
        <v>81</v>
      </c>
      <c r="E141" s="17" t="s">
        <v>5</v>
      </c>
      <c r="F141" s="13">
        <v>60</v>
      </c>
      <c r="G141" s="13">
        <v>6</v>
      </c>
      <c r="H141" s="15">
        <v>0</v>
      </c>
      <c r="I141" s="15">
        <v>0</v>
      </c>
      <c r="J141" s="13">
        <v>1</v>
      </c>
    </row>
    <row r="142" spans="1:15" x14ac:dyDescent="0.35">
      <c r="A142" s="73"/>
      <c r="B142" s="73"/>
      <c r="C142" s="73"/>
      <c r="D142" s="16" t="s">
        <v>81</v>
      </c>
      <c r="E142" s="17" t="s">
        <v>6</v>
      </c>
      <c r="F142" s="13">
        <v>118</v>
      </c>
      <c r="G142" s="13">
        <v>26</v>
      </c>
      <c r="H142" s="13">
        <v>3</v>
      </c>
      <c r="I142" s="13">
        <v>2</v>
      </c>
      <c r="J142" s="13">
        <v>1</v>
      </c>
    </row>
    <row r="143" spans="1:15" x14ac:dyDescent="0.35">
      <c r="A143" s="73"/>
      <c r="B143" s="73"/>
      <c r="C143" s="73"/>
      <c r="D143" s="16" t="s">
        <v>81</v>
      </c>
      <c r="E143" s="17" t="s">
        <v>7</v>
      </c>
      <c r="F143" s="13">
        <v>95</v>
      </c>
      <c r="G143" s="13">
        <v>21</v>
      </c>
      <c r="H143" s="13">
        <v>0</v>
      </c>
      <c r="I143" s="13">
        <v>2</v>
      </c>
      <c r="J143" s="15">
        <v>0</v>
      </c>
      <c r="K143" s="2">
        <f>SUM(F137:F143)</f>
        <v>634</v>
      </c>
      <c r="L143" s="2">
        <f t="shared" ref="L143:O143" si="21">SUM(G137:G143)</f>
        <v>210</v>
      </c>
      <c r="M143" s="2">
        <f t="shared" si="21"/>
        <v>21</v>
      </c>
      <c r="N143" s="2">
        <f t="shared" si="21"/>
        <v>19</v>
      </c>
      <c r="O143" s="2">
        <f t="shared" si="21"/>
        <v>3</v>
      </c>
    </row>
    <row r="144" spans="1:15" x14ac:dyDescent="0.35">
      <c r="A144" s="80"/>
      <c r="B144" s="80" t="s">
        <v>721</v>
      </c>
      <c r="C144" s="80">
        <f>SUM(C5:C138)</f>
        <v>29848</v>
      </c>
      <c r="D144" s="335" t="s">
        <v>229</v>
      </c>
      <c r="E144" s="335"/>
      <c r="F144" s="20">
        <f>SUM(F5:F143)</f>
        <v>13678</v>
      </c>
      <c r="G144" s="20">
        <f>SUM(G5:G143)</f>
        <v>3159</v>
      </c>
      <c r="H144" s="20">
        <f>SUM(H5:H143)</f>
        <v>414</v>
      </c>
      <c r="I144" s="20">
        <f>SUM(I5:I143)</f>
        <v>626</v>
      </c>
      <c r="J144" s="20">
        <f>SUM(J5:J143)</f>
        <v>75</v>
      </c>
    </row>
    <row r="145" spans="2:3" x14ac:dyDescent="0.35">
      <c r="B145" s="18" t="s">
        <v>726</v>
      </c>
      <c r="C145" s="81">
        <f>SUM(C144,F144,G144,H144,I144,J144)</f>
        <v>47800</v>
      </c>
    </row>
  </sheetData>
  <mergeCells count="6">
    <mergeCell ref="A2:C2"/>
    <mergeCell ref="D2:J2"/>
    <mergeCell ref="D144:E144"/>
    <mergeCell ref="F3:J3"/>
    <mergeCell ref="A1:C1"/>
    <mergeCell ref="D1:J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9"/>
  <sheetViews>
    <sheetView workbookViewId="0">
      <selection sqref="A1:C1"/>
    </sheetView>
  </sheetViews>
  <sheetFormatPr defaultRowHeight="21" x14ac:dyDescent="0.35"/>
  <cols>
    <col min="1" max="1" width="14.28515625" style="2" customWidth="1"/>
    <col min="2" max="2" width="29.5703125" style="2" customWidth="1"/>
    <col min="3" max="3" width="16.85546875" style="2" customWidth="1"/>
    <col min="4" max="4" width="14.7109375" style="2" customWidth="1"/>
    <col min="5" max="5" width="9.140625" style="22"/>
    <col min="6" max="6" width="15.5703125" style="22" customWidth="1"/>
    <col min="7" max="7" width="14.28515625" style="22" customWidth="1"/>
    <col min="8" max="8" width="9.140625" style="22"/>
    <col min="9" max="9" width="21.140625" style="22" customWidth="1"/>
    <col min="10" max="10" width="15" style="22" customWidth="1"/>
    <col min="11" max="16384" width="9.140625" style="2"/>
  </cols>
  <sheetData>
    <row r="1" spans="1:15" x14ac:dyDescent="0.35">
      <c r="A1" s="334" t="s">
        <v>727</v>
      </c>
      <c r="B1" s="334"/>
      <c r="C1" s="334"/>
      <c r="D1" s="330" t="s">
        <v>246</v>
      </c>
      <c r="E1" s="330"/>
      <c r="F1" s="330"/>
      <c r="G1" s="330"/>
      <c r="H1" s="330"/>
      <c r="I1" s="330"/>
      <c r="J1" s="330"/>
    </row>
    <row r="2" spans="1:15" x14ac:dyDescent="0.35">
      <c r="A2" s="334" t="s">
        <v>861</v>
      </c>
      <c r="B2" s="334"/>
      <c r="C2" s="334"/>
      <c r="D2" s="330" t="s">
        <v>862</v>
      </c>
      <c r="E2" s="330"/>
      <c r="F2" s="330"/>
      <c r="G2" s="330"/>
      <c r="H2" s="330"/>
      <c r="I2" s="330"/>
      <c r="J2" s="330"/>
    </row>
    <row r="3" spans="1:15" x14ac:dyDescent="0.35">
      <c r="D3" s="44"/>
      <c r="E3" s="44"/>
      <c r="F3" s="335" t="s">
        <v>716</v>
      </c>
      <c r="G3" s="335"/>
      <c r="H3" s="335"/>
      <c r="I3" s="335"/>
      <c r="J3" s="335"/>
    </row>
    <row r="4" spans="1:15" x14ac:dyDescent="0.35">
      <c r="A4" s="85" t="s">
        <v>714</v>
      </c>
      <c r="B4" s="85" t="s">
        <v>254</v>
      </c>
      <c r="C4" s="86" t="s">
        <v>715</v>
      </c>
      <c r="D4" s="18" t="s">
        <v>223</v>
      </c>
      <c r="E4" s="19" t="s">
        <v>222</v>
      </c>
      <c r="F4" s="19" t="s">
        <v>218</v>
      </c>
      <c r="G4" s="19" t="s">
        <v>219</v>
      </c>
      <c r="H4" s="19" t="s">
        <v>220</v>
      </c>
      <c r="I4" s="19" t="s">
        <v>238</v>
      </c>
      <c r="J4" s="19" t="s">
        <v>221</v>
      </c>
    </row>
    <row r="5" spans="1:15" x14ac:dyDescent="0.35">
      <c r="A5" s="9" t="s">
        <v>503</v>
      </c>
      <c r="B5" s="9" t="s">
        <v>504</v>
      </c>
      <c r="C5" s="9">
        <v>529</v>
      </c>
      <c r="D5" s="16" t="s">
        <v>82</v>
      </c>
      <c r="E5" s="17" t="s">
        <v>17</v>
      </c>
      <c r="F5" s="13">
        <v>112</v>
      </c>
      <c r="G5" s="13">
        <v>50</v>
      </c>
      <c r="H5" s="15">
        <v>3</v>
      </c>
      <c r="I5" s="13">
        <v>6</v>
      </c>
      <c r="J5" s="15">
        <v>1</v>
      </c>
    </row>
    <row r="6" spans="1:15" x14ac:dyDescent="0.35">
      <c r="A6" s="73"/>
      <c r="B6" s="73"/>
      <c r="C6" s="73"/>
      <c r="D6" s="16" t="s">
        <v>82</v>
      </c>
      <c r="E6" s="17" t="s">
        <v>2</v>
      </c>
      <c r="F6" s="13">
        <v>51</v>
      </c>
      <c r="G6" s="13">
        <v>16</v>
      </c>
      <c r="H6" s="13">
        <v>7</v>
      </c>
      <c r="I6" s="13">
        <v>5</v>
      </c>
      <c r="J6" s="15">
        <v>0</v>
      </c>
    </row>
    <row r="7" spans="1:15" x14ac:dyDescent="0.35">
      <c r="A7" s="73"/>
      <c r="B7" s="73"/>
      <c r="C7" s="73"/>
      <c r="D7" s="16" t="s">
        <v>82</v>
      </c>
      <c r="E7" s="17" t="s">
        <v>3</v>
      </c>
      <c r="F7" s="13">
        <v>43</v>
      </c>
      <c r="G7" s="13">
        <v>33</v>
      </c>
      <c r="H7" s="15">
        <v>1</v>
      </c>
      <c r="I7" s="13">
        <v>3</v>
      </c>
      <c r="J7" s="15">
        <v>1</v>
      </c>
    </row>
    <row r="8" spans="1:15" x14ac:dyDescent="0.35">
      <c r="A8" s="73"/>
      <c r="B8" s="73"/>
      <c r="C8" s="73"/>
      <c r="D8" s="16" t="s">
        <v>82</v>
      </c>
      <c r="E8" s="17" t="s">
        <v>4</v>
      </c>
      <c r="F8" s="13">
        <v>37</v>
      </c>
      <c r="G8" s="13">
        <v>18</v>
      </c>
      <c r="H8" s="15">
        <v>0</v>
      </c>
      <c r="I8" s="13">
        <v>2</v>
      </c>
      <c r="J8" s="15">
        <v>1</v>
      </c>
    </row>
    <row r="9" spans="1:15" x14ac:dyDescent="0.35">
      <c r="A9" s="73"/>
      <c r="B9" s="73"/>
      <c r="C9" s="73"/>
      <c r="D9" s="16" t="s">
        <v>82</v>
      </c>
      <c r="E9" s="17" t="s">
        <v>5</v>
      </c>
      <c r="F9" s="13">
        <v>47</v>
      </c>
      <c r="G9" s="13">
        <v>22</v>
      </c>
      <c r="H9" s="15">
        <v>0</v>
      </c>
      <c r="I9" s="13">
        <v>3</v>
      </c>
      <c r="J9" s="13">
        <v>1</v>
      </c>
      <c r="K9" s="2">
        <f>SUM(F5:F9)</f>
        <v>290</v>
      </c>
      <c r="L9" s="2">
        <f t="shared" ref="L9:O9" si="0">SUM(G5:G9)</f>
        <v>139</v>
      </c>
      <c r="M9" s="2">
        <f t="shared" si="0"/>
        <v>11</v>
      </c>
      <c r="N9" s="2">
        <f t="shared" si="0"/>
        <v>19</v>
      </c>
      <c r="O9" s="2">
        <f t="shared" si="0"/>
        <v>4</v>
      </c>
    </row>
    <row r="10" spans="1:15" x14ac:dyDescent="0.35">
      <c r="A10" s="4" t="s">
        <v>505</v>
      </c>
      <c r="B10" s="4" t="s">
        <v>506</v>
      </c>
      <c r="C10" s="4">
        <v>1048</v>
      </c>
      <c r="D10" s="16" t="s">
        <v>83</v>
      </c>
      <c r="E10" s="17" t="s">
        <v>17</v>
      </c>
      <c r="F10" s="12">
        <v>87</v>
      </c>
      <c r="G10" s="12">
        <v>45</v>
      </c>
      <c r="H10" s="12">
        <v>4</v>
      </c>
      <c r="I10" s="12">
        <v>4</v>
      </c>
      <c r="J10" s="12">
        <v>0</v>
      </c>
    </row>
    <row r="11" spans="1:15" x14ac:dyDescent="0.35">
      <c r="A11" s="79"/>
      <c r="B11" s="79"/>
      <c r="C11" s="79"/>
      <c r="D11" s="16" t="s">
        <v>83</v>
      </c>
      <c r="E11" s="17" t="s">
        <v>2</v>
      </c>
      <c r="F11" s="12">
        <v>88</v>
      </c>
      <c r="G11" s="12">
        <v>61</v>
      </c>
      <c r="H11" s="12">
        <v>1</v>
      </c>
      <c r="I11" s="12">
        <v>5</v>
      </c>
      <c r="J11" s="14">
        <v>0</v>
      </c>
    </row>
    <row r="12" spans="1:15" x14ac:dyDescent="0.35">
      <c r="A12" s="79"/>
      <c r="B12" s="79"/>
      <c r="C12" s="79"/>
      <c r="D12" s="16" t="s">
        <v>83</v>
      </c>
      <c r="E12" s="17" t="s">
        <v>3</v>
      </c>
      <c r="F12" s="12">
        <v>113</v>
      </c>
      <c r="G12" s="12">
        <v>40</v>
      </c>
      <c r="H12" s="14">
        <v>0</v>
      </c>
      <c r="I12" s="12">
        <v>4</v>
      </c>
      <c r="J12" s="14">
        <v>0</v>
      </c>
    </row>
    <row r="13" spans="1:15" x14ac:dyDescent="0.35">
      <c r="A13" s="79"/>
      <c r="B13" s="79"/>
      <c r="C13" s="79"/>
      <c r="D13" s="16" t="s">
        <v>83</v>
      </c>
      <c r="E13" s="17" t="s">
        <v>4</v>
      </c>
      <c r="F13" s="12">
        <v>112</v>
      </c>
      <c r="G13" s="12">
        <v>40</v>
      </c>
      <c r="H13" s="12">
        <v>1</v>
      </c>
      <c r="I13" s="12">
        <v>5</v>
      </c>
      <c r="J13" s="14">
        <v>1</v>
      </c>
      <c r="K13" s="2">
        <f>SUM(F10:F13)</f>
        <v>400</v>
      </c>
      <c r="L13" s="2">
        <f t="shared" ref="L13:O13" si="1">SUM(G10:G13)</f>
        <v>186</v>
      </c>
      <c r="M13" s="2">
        <f t="shared" si="1"/>
        <v>6</v>
      </c>
      <c r="N13" s="2">
        <f t="shared" si="1"/>
        <v>18</v>
      </c>
      <c r="O13" s="2">
        <f t="shared" si="1"/>
        <v>1</v>
      </c>
    </row>
    <row r="14" spans="1:15" x14ac:dyDescent="0.35">
      <c r="A14" s="9" t="s">
        <v>304</v>
      </c>
      <c r="B14" s="9" t="s">
        <v>305</v>
      </c>
      <c r="C14" s="9">
        <v>1591</v>
      </c>
      <c r="D14" s="16" t="s">
        <v>84</v>
      </c>
      <c r="E14" s="17" t="s">
        <v>17</v>
      </c>
      <c r="F14" s="13">
        <v>95</v>
      </c>
      <c r="G14" s="13">
        <v>49</v>
      </c>
      <c r="H14" s="13">
        <v>6</v>
      </c>
      <c r="I14" s="13">
        <v>4</v>
      </c>
      <c r="J14" s="15">
        <v>1</v>
      </c>
    </row>
    <row r="15" spans="1:15" x14ac:dyDescent="0.35">
      <c r="A15" s="73"/>
      <c r="B15" s="73"/>
      <c r="C15" s="73"/>
      <c r="D15" s="16" t="s">
        <v>84</v>
      </c>
      <c r="E15" s="17" t="s">
        <v>2</v>
      </c>
      <c r="F15" s="13">
        <v>60</v>
      </c>
      <c r="G15" s="13">
        <v>36</v>
      </c>
      <c r="H15" s="13">
        <v>1</v>
      </c>
      <c r="I15" s="13">
        <v>2</v>
      </c>
      <c r="J15" s="15">
        <v>0</v>
      </c>
    </row>
    <row r="16" spans="1:15" x14ac:dyDescent="0.35">
      <c r="A16" s="73"/>
      <c r="B16" s="73"/>
      <c r="C16" s="73"/>
      <c r="D16" s="16" t="s">
        <v>84</v>
      </c>
      <c r="E16" s="17" t="s">
        <v>3</v>
      </c>
      <c r="F16" s="13">
        <v>118</v>
      </c>
      <c r="G16" s="13">
        <v>53</v>
      </c>
      <c r="H16" s="13">
        <v>5</v>
      </c>
      <c r="I16" s="13">
        <v>11</v>
      </c>
      <c r="J16" s="15">
        <v>0</v>
      </c>
    </row>
    <row r="17" spans="1:15" x14ac:dyDescent="0.35">
      <c r="A17" s="73"/>
      <c r="B17" s="73"/>
      <c r="C17" s="73"/>
      <c r="D17" s="16" t="s">
        <v>84</v>
      </c>
      <c r="E17" s="17" t="s">
        <v>4</v>
      </c>
      <c r="F17" s="13">
        <v>42</v>
      </c>
      <c r="G17" s="13">
        <v>51</v>
      </c>
      <c r="H17" s="15">
        <v>0</v>
      </c>
      <c r="I17" s="13">
        <v>6</v>
      </c>
      <c r="J17" s="15">
        <v>2</v>
      </c>
    </row>
    <row r="18" spans="1:15" x14ac:dyDescent="0.35">
      <c r="A18" s="73"/>
      <c r="B18" s="73"/>
      <c r="C18" s="73"/>
      <c r="D18" s="16" t="s">
        <v>84</v>
      </c>
      <c r="E18" s="17" t="s">
        <v>5</v>
      </c>
      <c r="F18" s="13">
        <v>103</v>
      </c>
      <c r="G18" s="13">
        <v>70</v>
      </c>
      <c r="H18" s="13">
        <v>5</v>
      </c>
      <c r="I18" s="13">
        <v>9</v>
      </c>
      <c r="J18" s="15">
        <v>4</v>
      </c>
    </row>
    <row r="19" spans="1:15" x14ac:dyDescent="0.35">
      <c r="A19" s="73"/>
      <c r="B19" s="73"/>
      <c r="C19" s="73"/>
      <c r="D19" s="16" t="s">
        <v>84</v>
      </c>
      <c r="E19" s="17" t="s">
        <v>6</v>
      </c>
      <c r="F19" s="13">
        <v>49</v>
      </c>
      <c r="G19" s="13">
        <v>15</v>
      </c>
      <c r="H19" s="13">
        <v>2</v>
      </c>
      <c r="I19" s="13">
        <v>4</v>
      </c>
      <c r="J19" s="15">
        <v>0</v>
      </c>
    </row>
    <row r="20" spans="1:15" x14ac:dyDescent="0.35">
      <c r="A20" s="73"/>
      <c r="B20" s="73"/>
      <c r="C20" s="73"/>
      <c r="D20" s="16" t="s">
        <v>84</v>
      </c>
      <c r="E20" s="17" t="s">
        <v>7</v>
      </c>
      <c r="F20" s="13">
        <v>34</v>
      </c>
      <c r="G20" s="13">
        <v>28</v>
      </c>
      <c r="H20" s="13">
        <v>3</v>
      </c>
      <c r="I20" s="13">
        <v>3</v>
      </c>
      <c r="J20" s="15">
        <v>1</v>
      </c>
    </row>
    <row r="21" spans="1:15" x14ac:dyDescent="0.35">
      <c r="A21" s="73"/>
      <c r="B21" s="73"/>
      <c r="C21" s="73"/>
      <c r="D21" s="16" t="s">
        <v>84</v>
      </c>
      <c r="E21" s="17" t="s">
        <v>8</v>
      </c>
      <c r="F21" s="13">
        <v>18</v>
      </c>
      <c r="G21" s="13">
        <v>18</v>
      </c>
      <c r="H21" s="13">
        <v>2</v>
      </c>
      <c r="I21" s="13">
        <v>1</v>
      </c>
      <c r="J21" s="15">
        <v>1</v>
      </c>
    </row>
    <row r="22" spans="1:15" x14ac:dyDescent="0.35">
      <c r="A22" s="73"/>
      <c r="B22" s="73"/>
      <c r="C22" s="73"/>
      <c r="D22" s="16" t="s">
        <v>84</v>
      </c>
      <c r="E22" s="17" t="s">
        <v>9</v>
      </c>
      <c r="F22" s="13">
        <v>23</v>
      </c>
      <c r="G22" s="13">
        <v>12</v>
      </c>
      <c r="H22" s="15">
        <v>0</v>
      </c>
      <c r="I22" s="13">
        <v>2</v>
      </c>
      <c r="J22" s="15">
        <v>1</v>
      </c>
    </row>
    <row r="23" spans="1:15" x14ac:dyDescent="0.35">
      <c r="A23" s="73"/>
      <c r="B23" s="73"/>
      <c r="C23" s="73"/>
      <c r="D23" s="16" t="s">
        <v>84</v>
      </c>
      <c r="E23" s="17" t="s">
        <v>11</v>
      </c>
      <c r="F23" s="13">
        <v>13</v>
      </c>
      <c r="G23" s="13">
        <v>20</v>
      </c>
      <c r="H23" s="13">
        <v>5</v>
      </c>
      <c r="I23" s="13">
        <v>4</v>
      </c>
      <c r="J23" s="15">
        <v>0</v>
      </c>
      <c r="K23" s="2">
        <f>SUM(F14:F23)</f>
        <v>555</v>
      </c>
      <c r="L23" s="2">
        <f t="shared" ref="L23:O23" si="2">SUM(G14:G23)</f>
        <v>352</v>
      </c>
      <c r="M23" s="2">
        <f t="shared" si="2"/>
        <v>29</v>
      </c>
      <c r="N23" s="2">
        <f t="shared" si="2"/>
        <v>46</v>
      </c>
      <c r="O23" s="2">
        <f t="shared" si="2"/>
        <v>10</v>
      </c>
    </row>
    <row r="24" spans="1:15" x14ac:dyDescent="0.35">
      <c r="A24" s="4" t="s">
        <v>501</v>
      </c>
      <c r="B24" s="4" t="s">
        <v>502</v>
      </c>
      <c r="C24" s="4">
        <v>2082</v>
      </c>
      <c r="D24" s="16" t="s">
        <v>85</v>
      </c>
      <c r="E24" s="17" t="s">
        <v>17</v>
      </c>
      <c r="F24" s="12">
        <v>157</v>
      </c>
      <c r="G24" s="12">
        <v>134</v>
      </c>
      <c r="H24" s="12">
        <v>25</v>
      </c>
      <c r="I24" s="12">
        <v>13</v>
      </c>
      <c r="J24" s="14">
        <v>3</v>
      </c>
    </row>
    <row r="25" spans="1:15" x14ac:dyDescent="0.35">
      <c r="A25" s="79"/>
      <c r="B25" s="79"/>
      <c r="C25" s="79"/>
      <c r="D25" s="16" t="s">
        <v>85</v>
      </c>
      <c r="E25" s="17" t="s">
        <v>2</v>
      </c>
      <c r="F25" s="12">
        <v>115</v>
      </c>
      <c r="G25" s="12">
        <v>64</v>
      </c>
      <c r="H25" s="12">
        <v>3</v>
      </c>
      <c r="I25" s="12">
        <v>11</v>
      </c>
      <c r="J25" s="14">
        <v>1</v>
      </c>
    </row>
    <row r="26" spans="1:15" x14ac:dyDescent="0.35">
      <c r="A26" s="79"/>
      <c r="B26" s="79"/>
      <c r="C26" s="79"/>
      <c r="D26" s="16" t="s">
        <v>85</v>
      </c>
      <c r="E26" s="17" t="s">
        <v>3</v>
      </c>
      <c r="F26" s="12">
        <v>90</v>
      </c>
      <c r="G26" s="12">
        <v>25</v>
      </c>
      <c r="H26" s="12">
        <v>3</v>
      </c>
      <c r="I26" s="12">
        <v>5</v>
      </c>
      <c r="J26" s="14">
        <v>1</v>
      </c>
    </row>
    <row r="27" spans="1:15" x14ac:dyDescent="0.35">
      <c r="A27" s="79"/>
      <c r="B27" s="79"/>
      <c r="C27" s="79"/>
      <c r="D27" s="16" t="s">
        <v>85</v>
      </c>
      <c r="E27" s="17" t="s">
        <v>4</v>
      </c>
      <c r="F27" s="12">
        <v>98</v>
      </c>
      <c r="G27" s="12">
        <v>34</v>
      </c>
      <c r="H27" s="12">
        <v>5</v>
      </c>
      <c r="I27" s="12">
        <v>7</v>
      </c>
      <c r="J27" s="14">
        <v>1</v>
      </c>
    </row>
    <row r="28" spans="1:15" x14ac:dyDescent="0.35">
      <c r="A28" s="79"/>
      <c r="B28" s="79"/>
      <c r="C28" s="79"/>
      <c r="D28" s="16" t="s">
        <v>85</v>
      </c>
      <c r="E28" s="17" t="s">
        <v>5</v>
      </c>
      <c r="F28" s="12">
        <v>72</v>
      </c>
      <c r="G28" s="12">
        <v>31</v>
      </c>
      <c r="H28" s="14">
        <v>0</v>
      </c>
      <c r="I28" s="12">
        <v>5</v>
      </c>
      <c r="J28" s="14">
        <v>0</v>
      </c>
      <c r="K28" s="2">
        <f>SUM(F24:F28)</f>
        <v>532</v>
      </c>
      <c r="L28" s="2">
        <f t="shared" ref="L28:O28" si="3">SUM(G24:G28)</f>
        <v>288</v>
      </c>
      <c r="M28" s="2">
        <f t="shared" si="3"/>
        <v>36</v>
      </c>
      <c r="N28" s="2">
        <f t="shared" si="3"/>
        <v>41</v>
      </c>
      <c r="O28" s="2">
        <f t="shared" si="3"/>
        <v>6</v>
      </c>
    </row>
    <row r="29" spans="1:15" x14ac:dyDescent="0.35">
      <c r="A29" s="9" t="s">
        <v>507</v>
      </c>
      <c r="B29" s="9" t="s">
        <v>508</v>
      </c>
      <c r="C29" s="9">
        <v>3163</v>
      </c>
      <c r="D29" s="16" t="s">
        <v>86</v>
      </c>
      <c r="E29" s="17" t="s">
        <v>0</v>
      </c>
      <c r="F29" s="13">
        <v>2</v>
      </c>
      <c r="G29" s="15">
        <v>0</v>
      </c>
      <c r="H29" s="15">
        <v>0</v>
      </c>
      <c r="I29" s="15">
        <v>17</v>
      </c>
      <c r="J29" s="15">
        <v>0</v>
      </c>
    </row>
    <row r="30" spans="1:15" x14ac:dyDescent="0.35">
      <c r="A30" s="73"/>
      <c r="B30" s="73"/>
      <c r="C30" s="73"/>
      <c r="D30" s="16" t="s">
        <v>86</v>
      </c>
      <c r="E30" s="17" t="s">
        <v>17</v>
      </c>
      <c r="F30" s="13">
        <v>186</v>
      </c>
      <c r="G30" s="13">
        <v>127</v>
      </c>
      <c r="H30" s="13">
        <v>12</v>
      </c>
      <c r="I30" s="13">
        <v>8</v>
      </c>
      <c r="J30" s="15">
        <v>1</v>
      </c>
    </row>
    <row r="31" spans="1:15" x14ac:dyDescent="0.35">
      <c r="A31" s="73"/>
      <c r="B31" s="73"/>
      <c r="C31" s="73"/>
      <c r="D31" s="16" t="s">
        <v>86</v>
      </c>
      <c r="E31" s="17" t="s">
        <v>2</v>
      </c>
      <c r="F31" s="13">
        <v>156</v>
      </c>
      <c r="G31" s="13">
        <v>57</v>
      </c>
      <c r="H31" s="13">
        <v>10</v>
      </c>
      <c r="I31" s="13">
        <v>2</v>
      </c>
      <c r="J31" s="15">
        <v>1</v>
      </c>
    </row>
    <row r="32" spans="1:15" x14ac:dyDescent="0.35">
      <c r="A32" s="73"/>
      <c r="B32" s="73"/>
      <c r="C32" s="73"/>
      <c r="D32" s="16" t="s">
        <v>86</v>
      </c>
      <c r="E32" s="17" t="s">
        <v>3</v>
      </c>
      <c r="F32" s="13">
        <v>39</v>
      </c>
      <c r="G32" s="13">
        <v>21</v>
      </c>
      <c r="H32" s="13">
        <v>2</v>
      </c>
      <c r="I32" s="13">
        <v>5</v>
      </c>
      <c r="J32" s="15">
        <v>0</v>
      </c>
    </row>
    <row r="33" spans="1:15" x14ac:dyDescent="0.35">
      <c r="A33" s="73"/>
      <c r="B33" s="73"/>
      <c r="C33" s="73"/>
      <c r="D33" s="16" t="s">
        <v>86</v>
      </c>
      <c r="E33" s="17" t="s">
        <v>4</v>
      </c>
      <c r="F33" s="13">
        <v>67</v>
      </c>
      <c r="G33" s="13">
        <v>31</v>
      </c>
      <c r="H33" s="13">
        <v>2</v>
      </c>
      <c r="I33" s="13">
        <v>9</v>
      </c>
      <c r="J33" s="15">
        <v>1</v>
      </c>
    </row>
    <row r="34" spans="1:15" x14ac:dyDescent="0.35">
      <c r="A34" s="73"/>
      <c r="B34" s="73"/>
      <c r="C34" s="73"/>
      <c r="D34" s="16" t="s">
        <v>86</v>
      </c>
      <c r="E34" s="17" t="s">
        <v>5</v>
      </c>
      <c r="F34" s="13">
        <v>158</v>
      </c>
      <c r="G34" s="13">
        <v>65</v>
      </c>
      <c r="H34" s="15">
        <v>0</v>
      </c>
      <c r="I34" s="13">
        <v>3</v>
      </c>
      <c r="J34" s="15">
        <v>2</v>
      </c>
    </row>
    <row r="35" spans="1:15" x14ac:dyDescent="0.35">
      <c r="A35" s="73"/>
      <c r="B35" s="73"/>
      <c r="C35" s="73"/>
      <c r="D35" s="16" t="s">
        <v>86</v>
      </c>
      <c r="E35" s="17" t="s">
        <v>6</v>
      </c>
      <c r="F35" s="13">
        <v>213</v>
      </c>
      <c r="G35" s="13">
        <v>36</v>
      </c>
      <c r="H35" s="13">
        <v>8</v>
      </c>
      <c r="I35" s="13">
        <v>1</v>
      </c>
      <c r="J35" s="13">
        <v>2</v>
      </c>
    </row>
    <row r="36" spans="1:15" x14ac:dyDescent="0.35">
      <c r="A36" s="73"/>
      <c r="B36" s="73"/>
      <c r="C36" s="73"/>
      <c r="D36" s="16" t="s">
        <v>86</v>
      </c>
      <c r="E36" s="17" t="s">
        <v>7</v>
      </c>
      <c r="F36" s="13">
        <v>63</v>
      </c>
      <c r="G36" s="13">
        <v>21</v>
      </c>
      <c r="H36" s="13">
        <v>1</v>
      </c>
      <c r="I36" s="13">
        <v>3</v>
      </c>
      <c r="J36" s="15">
        <v>1</v>
      </c>
    </row>
    <row r="37" spans="1:15" x14ac:dyDescent="0.35">
      <c r="A37" s="73"/>
      <c r="B37" s="73"/>
      <c r="C37" s="73"/>
      <c r="D37" s="16" t="s">
        <v>86</v>
      </c>
      <c r="E37" s="17" t="s">
        <v>8</v>
      </c>
      <c r="F37" s="13">
        <v>85</v>
      </c>
      <c r="G37" s="13">
        <v>15</v>
      </c>
      <c r="H37" s="13">
        <v>14</v>
      </c>
      <c r="I37" s="13">
        <v>1</v>
      </c>
      <c r="J37" s="15">
        <v>2</v>
      </c>
    </row>
    <row r="38" spans="1:15" x14ac:dyDescent="0.35">
      <c r="A38" s="73"/>
      <c r="B38" s="73"/>
      <c r="C38" s="73"/>
      <c r="D38" s="16" t="s">
        <v>86</v>
      </c>
      <c r="E38" s="17" t="s">
        <v>9</v>
      </c>
      <c r="F38" s="13">
        <v>91</v>
      </c>
      <c r="G38" s="13">
        <v>36</v>
      </c>
      <c r="H38" s="13">
        <v>5</v>
      </c>
      <c r="I38" s="13">
        <v>5</v>
      </c>
      <c r="J38" s="15">
        <v>0</v>
      </c>
    </row>
    <row r="39" spans="1:15" x14ac:dyDescent="0.35">
      <c r="A39" s="73"/>
      <c r="B39" s="73"/>
      <c r="C39" s="73"/>
      <c r="D39" s="16" t="s">
        <v>86</v>
      </c>
      <c r="E39" s="17" t="s">
        <v>11</v>
      </c>
      <c r="F39" s="13">
        <v>49</v>
      </c>
      <c r="G39" s="13">
        <v>40</v>
      </c>
      <c r="H39" s="13">
        <v>3</v>
      </c>
      <c r="I39" s="13">
        <v>2</v>
      </c>
      <c r="J39" s="15">
        <v>0</v>
      </c>
    </row>
    <row r="40" spans="1:15" x14ac:dyDescent="0.35">
      <c r="A40" s="73"/>
      <c r="B40" s="73"/>
      <c r="C40" s="73"/>
      <c r="D40" s="16" t="s">
        <v>86</v>
      </c>
      <c r="E40" s="17" t="s">
        <v>15</v>
      </c>
      <c r="F40" s="13">
        <v>1</v>
      </c>
      <c r="G40" s="15">
        <v>0</v>
      </c>
      <c r="H40" s="15">
        <v>0</v>
      </c>
      <c r="I40" s="15">
        <v>0</v>
      </c>
      <c r="J40" s="15">
        <v>0</v>
      </c>
      <c r="K40" s="2">
        <f>SUM(F29:F40)</f>
        <v>1110</v>
      </c>
      <c r="L40" s="2">
        <f t="shared" ref="L40:O40" si="4">SUM(G29:G40)</f>
        <v>449</v>
      </c>
      <c r="M40" s="2">
        <f t="shared" si="4"/>
        <v>57</v>
      </c>
      <c r="N40" s="2">
        <f t="shared" si="4"/>
        <v>56</v>
      </c>
      <c r="O40" s="2">
        <f t="shared" si="4"/>
        <v>10</v>
      </c>
    </row>
    <row r="41" spans="1:15" x14ac:dyDescent="0.35">
      <c r="A41" s="4" t="s">
        <v>509</v>
      </c>
      <c r="B41" s="4" t="s">
        <v>510</v>
      </c>
      <c r="C41" s="4">
        <v>1406</v>
      </c>
      <c r="D41" s="16" t="s">
        <v>87</v>
      </c>
      <c r="E41" s="17" t="s">
        <v>17</v>
      </c>
      <c r="F41" s="12">
        <v>78</v>
      </c>
      <c r="G41" s="12">
        <v>61</v>
      </c>
      <c r="H41" s="12">
        <v>4</v>
      </c>
      <c r="I41" s="12">
        <v>3</v>
      </c>
      <c r="J41" s="14">
        <v>0</v>
      </c>
    </row>
    <row r="42" spans="1:15" x14ac:dyDescent="0.35">
      <c r="A42" s="79"/>
      <c r="B42" s="79"/>
      <c r="C42" s="79"/>
      <c r="D42" s="16" t="s">
        <v>87</v>
      </c>
      <c r="E42" s="17" t="s">
        <v>2</v>
      </c>
      <c r="F42" s="12">
        <v>107</v>
      </c>
      <c r="G42" s="12">
        <v>38</v>
      </c>
      <c r="H42" s="12">
        <v>5</v>
      </c>
      <c r="I42" s="12">
        <v>9</v>
      </c>
      <c r="J42" s="14">
        <v>1</v>
      </c>
    </row>
    <row r="43" spans="1:15" x14ac:dyDescent="0.35">
      <c r="A43" s="79"/>
      <c r="B43" s="79"/>
      <c r="C43" s="79"/>
      <c r="D43" s="16" t="s">
        <v>87</v>
      </c>
      <c r="E43" s="17" t="s">
        <v>3</v>
      </c>
      <c r="F43" s="12">
        <v>69</v>
      </c>
      <c r="G43" s="12">
        <v>37</v>
      </c>
      <c r="H43" s="12">
        <v>1</v>
      </c>
      <c r="I43" s="12">
        <v>8</v>
      </c>
      <c r="J43" s="14">
        <v>0</v>
      </c>
    </row>
    <row r="44" spans="1:15" x14ac:dyDescent="0.35">
      <c r="A44" s="79"/>
      <c r="B44" s="79"/>
      <c r="C44" s="79"/>
      <c r="D44" s="16" t="s">
        <v>87</v>
      </c>
      <c r="E44" s="17" t="s">
        <v>4</v>
      </c>
      <c r="F44" s="12">
        <v>30</v>
      </c>
      <c r="G44" s="12">
        <v>24</v>
      </c>
      <c r="H44" s="14">
        <v>0</v>
      </c>
      <c r="I44" s="14">
        <v>0</v>
      </c>
      <c r="J44" s="14">
        <v>0</v>
      </c>
    </row>
    <row r="45" spans="1:15" x14ac:dyDescent="0.35">
      <c r="A45" s="79"/>
      <c r="B45" s="79"/>
      <c r="C45" s="79"/>
      <c r="D45" s="16" t="s">
        <v>87</v>
      </c>
      <c r="E45" s="17" t="s">
        <v>5</v>
      </c>
      <c r="F45" s="12">
        <v>57</v>
      </c>
      <c r="G45" s="12">
        <v>32</v>
      </c>
      <c r="H45" s="12">
        <v>1</v>
      </c>
      <c r="I45" s="12">
        <v>4</v>
      </c>
      <c r="J45" s="14">
        <v>0</v>
      </c>
    </row>
    <row r="46" spans="1:15" x14ac:dyDescent="0.35">
      <c r="A46" s="79"/>
      <c r="B46" s="79"/>
      <c r="C46" s="79"/>
      <c r="D46" s="16" t="s">
        <v>87</v>
      </c>
      <c r="E46" s="17" t="s">
        <v>6</v>
      </c>
      <c r="F46" s="12">
        <v>27</v>
      </c>
      <c r="G46" s="12">
        <v>14</v>
      </c>
      <c r="H46" s="14">
        <v>0</v>
      </c>
      <c r="I46" s="12">
        <v>1</v>
      </c>
      <c r="J46" s="14">
        <v>0</v>
      </c>
    </row>
    <row r="47" spans="1:15" x14ac:dyDescent="0.35">
      <c r="A47" s="79"/>
      <c r="B47" s="79"/>
      <c r="C47" s="79"/>
      <c r="D47" s="16" t="s">
        <v>87</v>
      </c>
      <c r="E47" s="17" t="s">
        <v>7</v>
      </c>
      <c r="F47" s="12">
        <v>54</v>
      </c>
      <c r="G47" s="12">
        <v>24</v>
      </c>
      <c r="H47" s="12">
        <v>2</v>
      </c>
      <c r="I47" s="12">
        <v>2</v>
      </c>
      <c r="J47" s="14">
        <v>0</v>
      </c>
    </row>
    <row r="48" spans="1:15" x14ac:dyDescent="0.35">
      <c r="A48" s="79"/>
      <c r="B48" s="79"/>
      <c r="C48" s="79"/>
      <c r="D48" s="16" t="s">
        <v>87</v>
      </c>
      <c r="E48" s="17" t="s">
        <v>8</v>
      </c>
      <c r="F48" s="12">
        <v>49</v>
      </c>
      <c r="G48" s="12">
        <v>43</v>
      </c>
      <c r="H48" s="12">
        <v>2</v>
      </c>
      <c r="I48" s="12">
        <v>5</v>
      </c>
      <c r="J48" s="14">
        <v>0</v>
      </c>
    </row>
    <row r="49" spans="1:15" x14ac:dyDescent="0.35">
      <c r="A49" s="79"/>
      <c r="B49" s="79"/>
      <c r="C49" s="79"/>
      <c r="D49" s="16" t="s">
        <v>87</v>
      </c>
      <c r="E49" s="17" t="s">
        <v>9</v>
      </c>
      <c r="F49" s="12">
        <v>72</v>
      </c>
      <c r="G49" s="12">
        <v>37</v>
      </c>
      <c r="H49" s="12">
        <v>3</v>
      </c>
      <c r="I49" s="12">
        <v>4</v>
      </c>
      <c r="J49" s="14">
        <v>0</v>
      </c>
      <c r="K49" s="2">
        <f>SUM(F41:F49)</f>
        <v>543</v>
      </c>
      <c r="L49" s="2">
        <f t="shared" ref="L49:O49" si="5">SUM(G41:G49)</f>
        <v>310</v>
      </c>
      <c r="M49" s="2">
        <f t="shared" si="5"/>
        <v>18</v>
      </c>
      <c r="N49" s="2">
        <f t="shared" si="5"/>
        <v>36</v>
      </c>
      <c r="O49" s="2">
        <f t="shared" si="5"/>
        <v>1</v>
      </c>
    </row>
    <row r="50" spans="1:15" x14ac:dyDescent="0.35">
      <c r="A50" s="9" t="s">
        <v>511</v>
      </c>
      <c r="B50" s="9" t="s">
        <v>512</v>
      </c>
      <c r="C50" s="9">
        <v>1179</v>
      </c>
      <c r="D50" s="16" t="s">
        <v>88</v>
      </c>
      <c r="E50" s="17" t="s">
        <v>17</v>
      </c>
      <c r="F50" s="13">
        <v>136</v>
      </c>
      <c r="G50" s="13">
        <v>16</v>
      </c>
      <c r="H50" s="15">
        <v>0</v>
      </c>
      <c r="I50" s="13">
        <v>1</v>
      </c>
      <c r="J50" s="15">
        <v>3</v>
      </c>
    </row>
    <row r="51" spans="1:15" x14ac:dyDescent="0.35">
      <c r="A51" s="73"/>
      <c r="B51" s="73"/>
      <c r="C51" s="73"/>
      <c r="D51" s="16" t="s">
        <v>88</v>
      </c>
      <c r="E51" s="17" t="s">
        <v>2</v>
      </c>
      <c r="F51" s="13">
        <v>63</v>
      </c>
      <c r="G51" s="13">
        <v>16</v>
      </c>
      <c r="H51" s="15">
        <v>0</v>
      </c>
      <c r="I51" s="13">
        <v>1</v>
      </c>
      <c r="J51" s="13">
        <v>0</v>
      </c>
    </row>
    <row r="52" spans="1:15" x14ac:dyDescent="0.35">
      <c r="A52" s="73"/>
      <c r="B52" s="73"/>
      <c r="C52" s="73"/>
      <c r="D52" s="16" t="s">
        <v>88</v>
      </c>
      <c r="E52" s="17" t="s">
        <v>3</v>
      </c>
      <c r="F52" s="13">
        <v>75</v>
      </c>
      <c r="G52" s="13">
        <v>9</v>
      </c>
      <c r="H52" s="13">
        <v>1</v>
      </c>
      <c r="I52" s="13">
        <v>2</v>
      </c>
      <c r="J52" s="15">
        <v>0</v>
      </c>
    </row>
    <row r="53" spans="1:15" x14ac:dyDescent="0.35">
      <c r="A53" s="73"/>
      <c r="B53" s="73"/>
      <c r="C53" s="73"/>
      <c r="D53" s="16" t="s">
        <v>88</v>
      </c>
      <c r="E53" s="17" t="s">
        <v>4</v>
      </c>
      <c r="F53" s="13">
        <v>78</v>
      </c>
      <c r="G53" s="13">
        <v>18</v>
      </c>
      <c r="H53" s="13">
        <v>2</v>
      </c>
      <c r="I53" s="13">
        <v>1</v>
      </c>
      <c r="J53" s="15">
        <v>0</v>
      </c>
    </row>
    <row r="54" spans="1:15" x14ac:dyDescent="0.35">
      <c r="A54" s="73"/>
      <c r="B54" s="73"/>
      <c r="C54" s="73"/>
      <c r="D54" s="16" t="s">
        <v>88</v>
      </c>
      <c r="E54" s="17" t="s">
        <v>5</v>
      </c>
      <c r="F54" s="13">
        <v>125</v>
      </c>
      <c r="G54" s="13">
        <v>37</v>
      </c>
      <c r="H54" s="13">
        <v>5</v>
      </c>
      <c r="I54" s="13">
        <v>9</v>
      </c>
      <c r="J54" s="13">
        <v>0</v>
      </c>
    </row>
    <row r="55" spans="1:15" x14ac:dyDescent="0.35">
      <c r="A55" s="73"/>
      <c r="B55" s="73"/>
      <c r="C55" s="73"/>
      <c r="D55" s="16" t="s">
        <v>88</v>
      </c>
      <c r="E55" s="17" t="s">
        <v>6</v>
      </c>
      <c r="F55" s="13">
        <v>58</v>
      </c>
      <c r="G55" s="13">
        <v>23</v>
      </c>
      <c r="H55" s="13">
        <v>6</v>
      </c>
      <c r="I55" s="15">
        <v>3</v>
      </c>
      <c r="J55" s="13">
        <v>0</v>
      </c>
    </row>
    <row r="56" spans="1:15" x14ac:dyDescent="0.35">
      <c r="A56" s="73"/>
      <c r="B56" s="73"/>
      <c r="C56" s="73"/>
      <c r="D56" s="16" t="s">
        <v>88</v>
      </c>
      <c r="E56" s="17" t="s">
        <v>7</v>
      </c>
      <c r="F56" s="13">
        <v>67</v>
      </c>
      <c r="G56" s="13">
        <v>20</v>
      </c>
      <c r="H56" s="13">
        <v>5</v>
      </c>
      <c r="I56" s="13">
        <v>6</v>
      </c>
      <c r="J56" s="15">
        <v>0</v>
      </c>
      <c r="K56" s="2">
        <f>SUM(F50:F56)</f>
        <v>602</v>
      </c>
      <c r="L56" s="2">
        <f t="shared" ref="L56:O56" si="6">SUM(G50:G56)</f>
        <v>139</v>
      </c>
      <c r="M56" s="2">
        <f t="shared" si="6"/>
        <v>19</v>
      </c>
      <c r="N56" s="2">
        <f t="shared" si="6"/>
        <v>23</v>
      </c>
      <c r="O56" s="2">
        <f t="shared" si="6"/>
        <v>3</v>
      </c>
    </row>
    <row r="57" spans="1:15" x14ac:dyDescent="0.35">
      <c r="A57" s="4" t="s">
        <v>374</v>
      </c>
      <c r="B57" s="4" t="s">
        <v>375</v>
      </c>
      <c r="C57" s="4">
        <v>2496</v>
      </c>
      <c r="D57" s="16" t="s">
        <v>89</v>
      </c>
      <c r="E57" s="17" t="s">
        <v>17</v>
      </c>
      <c r="F57" s="12">
        <v>187</v>
      </c>
      <c r="G57" s="12">
        <v>42</v>
      </c>
      <c r="H57" s="12">
        <v>6</v>
      </c>
      <c r="I57" s="12">
        <v>11</v>
      </c>
      <c r="J57" s="14">
        <v>2</v>
      </c>
    </row>
    <row r="58" spans="1:15" x14ac:dyDescent="0.35">
      <c r="A58" s="79"/>
      <c r="B58" s="79"/>
      <c r="C58" s="79"/>
      <c r="D58" s="16" t="s">
        <v>89</v>
      </c>
      <c r="E58" s="17" t="s">
        <v>2</v>
      </c>
      <c r="F58" s="12">
        <v>194</v>
      </c>
      <c r="G58" s="12">
        <v>49</v>
      </c>
      <c r="H58" s="12">
        <v>8</v>
      </c>
      <c r="I58" s="12">
        <v>8</v>
      </c>
      <c r="J58" s="12">
        <v>1</v>
      </c>
    </row>
    <row r="59" spans="1:15" x14ac:dyDescent="0.35">
      <c r="A59" s="79"/>
      <c r="B59" s="79"/>
      <c r="C59" s="79"/>
      <c r="D59" s="16" t="s">
        <v>89</v>
      </c>
      <c r="E59" s="17" t="s">
        <v>3</v>
      </c>
      <c r="F59" s="12">
        <v>50</v>
      </c>
      <c r="G59" s="12">
        <v>22</v>
      </c>
      <c r="H59" s="12">
        <v>4</v>
      </c>
      <c r="I59" s="12">
        <v>10</v>
      </c>
      <c r="J59" s="14">
        <v>1</v>
      </c>
    </row>
    <row r="60" spans="1:15" x14ac:dyDescent="0.35">
      <c r="A60" s="79"/>
      <c r="B60" s="79"/>
      <c r="C60" s="79"/>
      <c r="D60" s="16" t="s">
        <v>89</v>
      </c>
      <c r="E60" s="17" t="s">
        <v>4</v>
      </c>
      <c r="F60" s="12">
        <v>34</v>
      </c>
      <c r="G60" s="12">
        <v>26</v>
      </c>
      <c r="H60" s="12">
        <v>1</v>
      </c>
      <c r="I60" s="12">
        <v>3</v>
      </c>
      <c r="J60" s="14">
        <v>0</v>
      </c>
    </row>
    <row r="61" spans="1:15" x14ac:dyDescent="0.35">
      <c r="A61" s="79"/>
      <c r="B61" s="79"/>
      <c r="C61" s="79"/>
      <c r="D61" s="16" t="s">
        <v>89</v>
      </c>
      <c r="E61" s="17" t="s">
        <v>5</v>
      </c>
      <c r="F61" s="12">
        <v>196</v>
      </c>
      <c r="G61" s="12">
        <v>33</v>
      </c>
      <c r="H61" s="12">
        <v>4</v>
      </c>
      <c r="I61" s="12">
        <v>4</v>
      </c>
      <c r="J61" s="12">
        <v>1</v>
      </c>
    </row>
    <row r="62" spans="1:15" x14ac:dyDescent="0.35">
      <c r="A62" s="79"/>
      <c r="B62" s="79"/>
      <c r="C62" s="79"/>
      <c r="D62" s="16" t="s">
        <v>89</v>
      </c>
      <c r="E62" s="17" t="s">
        <v>6</v>
      </c>
      <c r="F62" s="12">
        <v>310</v>
      </c>
      <c r="G62" s="12">
        <v>132</v>
      </c>
      <c r="H62" s="12">
        <v>16</v>
      </c>
      <c r="I62" s="12">
        <v>13</v>
      </c>
      <c r="J62" s="12">
        <v>3</v>
      </c>
    </row>
    <row r="63" spans="1:15" x14ac:dyDescent="0.35">
      <c r="A63" s="79"/>
      <c r="B63" s="79"/>
      <c r="C63" s="79"/>
      <c r="D63" s="16" t="s">
        <v>89</v>
      </c>
      <c r="E63" s="17" t="s">
        <v>7</v>
      </c>
      <c r="F63" s="12">
        <v>41</v>
      </c>
      <c r="G63" s="12">
        <v>33</v>
      </c>
      <c r="H63" s="12">
        <v>2</v>
      </c>
      <c r="I63" s="12">
        <v>2</v>
      </c>
      <c r="J63" s="14">
        <v>0</v>
      </c>
      <c r="K63" s="2">
        <f>SUM(F57:F63)</f>
        <v>1012</v>
      </c>
      <c r="L63" s="2">
        <f t="shared" ref="L63:O63" si="7">SUM(G57:G63)</f>
        <v>337</v>
      </c>
      <c r="M63" s="2">
        <f t="shared" si="7"/>
        <v>41</v>
      </c>
      <c r="N63" s="2">
        <f t="shared" si="7"/>
        <v>51</v>
      </c>
      <c r="O63" s="2">
        <f t="shared" si="7"/>
        <v>8</v>
      </c>
    </row>
    <row r="64" spans="1:15" x14ac:dyDescent="0.35">
      <c r="A64" s="9" t="s">
        <v>376</v>
      </c>
      <c r="B64" s="9" t="s">
        <v>377</v>
      </c>
      <c r="C64" s="9">
        <v>1359</v>
      </c>
      <c r="D64" s="16" t="s">
        <v>90</v>
      </c>
      <c r="E64" s="17" t="s">
        <v>17</v>
      </c>
      <c r="F64" s="13">
        <v>96</v>
      </c>
      <c r="G64" s="13">
        <v>19</v>
      </c>
      <c r="H64" s="13">
        <v>6</v>
      </c>
      <c r="I64" s="13">
        <v>5</v>
      </c>
      <c r="J64" s="15">
        <v>0</v>
      </c>
    </row>
    <row r="65" spans="1:15" x14ac:dyDescent="0.35">
      <c r="A65" s="73"/>
      <c r="B65" s="73"/>
      <c r="C65" s="73"/>
      <c r="D65" s="16" t="s">
        <v>90</v>
      </c>
      <c r="E65" s="17" t="s">
        <v>2</v>
      </c>
      <c r="F65" s="13">
        <v>105</v>
      </c>
      <c r="G65" s="13">
        <v>21</v>
      </c>
      <c r="H65" s="13">
        <v>1</v>
      </c>
      <c r="I65" s="13">
        <v>5</v>
      </c>
      <c r="J65" s="15">
        <v>0</v>
      </c>
    </row>
    <row r="66" spans="1:15" x14ac:dyDescent="0.35">
      <c r="A66" s="73"/>
      <c r="B66" s="73"/>
      <c r="C66" s="73"/>
      <c r="D66" s="16" t="s">
        <v>90</v>
      </c>
      <c r="E66" s="17" t="s">
        <v>3</v>
      </c>
      <c r="F66" s="13">
        <v>126</v>
      </c>
      <c r="G66" s="13">
        <v>29</v>
      </c>
      <c r="H66" s="13">
        <v>8</v>
      </c>
      <c r="I66" s="13">
        <v>4</v>
      </c>
      <c r="J66" s="15">
        <v>3</v>
      </c>
    </row>
    <row r="67" spans="1:15" x14ac:dyDescent="0.35">
      <c r="A67" s="73"/>
      <c r="B67" s="73"/>
      <c r="C67" s="73"/>
      <c r="D67" s="16" t="s">
        <v>90</v>
      </c>
      <c r="E67" s="17" t="s">
        <v>4</v>
      </c>
      <c r="F67" s="13">
        <v>97</v>
      </c>
      <c r="G67" s="13">
        <v>12</v>
      </c>
      <c r="H67" s="13">
        <v>1</v>
      </c>
      <c r="I67" s="13">
        <v>8</v>
      </c>
      <c r="J67" s="15">
        <v>0</v>
      </c>
    </row>
    <row r="68" spans="1:15" x14ac:dyDescent="0.35">
      <c r="A68" s="73"/>
      <c r="B68" s="73"/>
      <c r="C68" s="73"/>
      <c r="D68" s="16" t="s">
        <v>90</v>
      </c>
      <c r="E68" s="17" t="s">
        <v>5</v>
      </c>
      <c r="F68" s="13">
        <v>28</v>
      </c>
      <c r="G68" s="13">
        <v>12</v>
      </c>
      <c r="H68" s="13">
        <v>2</v>
      </c>
      <c r="I68" s="13">
        <v>9</v>
      </c>
      <c r="J68" s="15">
        <v>0</v>
      </c>
    </row>
    <row r="69" spans="1:15" x14ac:dyDescent="0.35">
      <c r="A69" s="73"/>
      <c r="B69" s="73"/>
      <c r="C69" s="73"/>
      <c r="D69" s="16" t="s">
        <v>90</v>
      </c>
      <c r="E69" s="17" t="s">
        <v>6</v>
      </c>
      <c r="F69" s="13">
        <v>44</v>
      </c>
      <c r="G69" s="13">
        <v>29</v>
      </c>
      <c r="H69" s="13">
        <v>2</v>
      </c>
      <c r="I69" s="13">
        <v>5</v>
      </c>
      <c r="J69" s="15">
        <v>1</v>
      </c>
    </row>
    <row r="70" spans="1:15" x14ac:dyDescent="0.35">
      <c r="A70" s="73"/>
      <c r="B70" s="73"/>
      <c r="C70" s="73"/>
      <c r="D70" s="16" t="s">
        <v>90</v>
      </c>
      <c r="E70" s="17" t="s">
        <v>7</v>
      </c>
      <c r="F70" s="13">
        <v>30</v>
      </c>
      <c r="G70" s="13">
        <v>5</v>
      </c>
      <c r="H70" s="15">
        <v>0</v>
      </c>
      <c r="I70" s="13">
        <v>1</v>
      </c>
      <c r="J70" s="15">
        <v>0</v>
      </c>
    </row>
    <row r="71" spans="1:15" x14ac:dyDescent="0.35">
      <c r="A71" s="73"/>
      <c r="B71" s="73"/>
      <c r="C71" s="73"/>
      <c r="D71" s="16" t="s">
        <v>90</v>
      </c>
      <c r="E71" s="17" t="s">
        <v>8</v>
      </c>
      <c r="F71" s="13">
        <v>117</v>
      </c>
      <c r="G71" s="13">
        <v>27</v>
      </c>
      <c r="H71" s="15">
        <v>0</v>
      </c>
      <c r="I71" s="13">
        <v>1</v>
      </c>
      <c r="J71" s="15">
        <v>0</v>
      </c>
      <c r="K71" s="2">
        <f>SUM(F64:F71)</f>
        <v>643</v>
      </c>
      <c r="L71" s="2">
        <f t="shared" ref="L71:O71" si="8">SUM(G64:G71)</f>
        <v>154</v>
      </c>
      <c r="M71" s="2">
        <f t="shared" si="8"/>
        <v>20</v>
      </c>
      <c r="N71" s="2">
        <f t="shared" si="8"/>
        <v>38</v>
      </c>
      <c r="O71" s="2">
        <f t="shared" si="8"/>
        <v>4</v>
      </c>
    </row>
    <row r="72" spans="1:15" x14ac:dyDescent="0.35">
      <c r="A72" s="4" t="s">
        <v>378</v>
      </c>
      <c r="B72" s="4" t="s">
        <v>379</v>
      </c>
      <c r="C72" s="4">
        <v>595</v>
      </c>
      <c r="D72" s="16" t="s">
        <v>91</v>
      </c>
      <c r="E72" s="17" t="s">
        <v>17</v>
      </c>
      <c r="F72" s="12">
        <v>28</v>
      </c>
      <c r="G72" s="12">
        <v>13</v>
      </c>
      <c r="H72" s="14">
        <v>0</v>
      </c>
      <c r="I72" s="12">
        <v>1</v>
      </c>
      <c r="J72" s="14">
        <v>0</v>
      </c>
    </row>
    <row r="73" spans="1:15" x14ac:dyDescent="0.35">
      <c r="A73" s="79"/>
      <c r="B73" s="79"/>
      <c r="C73" s="79"/>
      <c r="D73" s="16" t="s">
        <v>91</v>
      </c>
      <c r="E73" s="17" t="s">
        <v>2</v>
      </c>
      <c r="F73" s="12">
        <v>25</v>
      </c>
      <c r="G73" s="12">
        <v>20</v>
      </c>
      <c r="H73" s="14">
        <v>0</v>
      </c>
      <c r="I73" s="14">
        <v>0</v>
      </c>
      <c r="J73" s="14">
        <v>0</v>
      </c>
    </row>
    <row r="74" spans="1:15" x14ac:dyDescent="0.35">
      <c r="A74" s="79"/>
      <c r="B74" s="79"/>
      <c r="C74" s="79"/>
      <c r="D74" s="16" t="s">
        <v>91</v>
      </c>
      <c r="E74" s="17" t="s">
        <v>3</v>
      </c>
      <c r="F74" s="12">
        <v>60</v>
      </c>
      <c r="G74" s="12">
        <v>11</v>
      </c>
      <c r="H74" s="14">
        <v>0</v>
      </c>
      <c r="I74" s="12">
        <v>6</v>
      </c>
      <c r="J74" s="14">
        <v>0</v>
      </c>
    </row>
    <row r="75" spans="1:15" x14ac:dyDescent="0.35">
      <c r="A75" s="79"/>
      <c r="B75" s="79"/>
      <c r="C75" s="79"/>
      <c r="D75" s="16" t="s">
        <v>91</v>
      </c>
      <c r="E75" s="17" t="s">
        <v>4</v>
      </c>
      <c r="F75" s="12">
        <v>79</v>
      </c>
      <c r="G75" s="12">
        <v>17</v>
      </c>
      <c r="H75" s="12">
        <v>4</v>
      </c>
      <c r="I75" s="12">
        <v>1</v>
      </c>
      <c r="J75" s="14">
        <v>0</v>
      </c>
    </row>
    <row r="76" spans="1:15" x14ac:dyDescent="0.35">
      <c r="A76" s="79"/>
      <c r="B76" s="79"/>
      <c r="C76" s="79"/>
      <c r="D76" s="16" t="s">
        <v>91</v>
      </c>
      <c r="E76" s="17" t="s">
        <v>5</v>
      </c>
      <c r="F76" s="12">
        <v>70</v>
      </c>
      <c r="G76" s="12">
        <v>24</v>
      </c>
      <c r="H76" s="12">
        <v>4</v>
      </c>
      <c r="I76" s="12">
        <v>5</v>
      </c>
      <c r="J76" s="14">
        <v>1</v>
      </c>
    </row>
    <row r="77" spans="1:15" x14ac:dyDescent="0.35">
      <c r="A77" s="79"/>
      <c r="B77" s="79"/>
      <c r="C77" s="79"/>
      <c r="D77" s="16" t="s">
        <v>91</v>
      </c>
      <c r="E77" s="17" t="s">
        <v>6</v>
      </c>
      <c r="F77" s="12">
        <v>15</v>
      </c>
      <c r="G77" s="12">
        <v>9</v>
      </c>
      <c r="H77" s="12">
        <v>3</v>
      </c>
      <c r="I77" s="14">
        <v>0</v>
      </c>
      <c r="J77" s="14">
        <v>0</v>
      </c>
      <c r="K77" s="2">
        <f>SUM(F72:F77)</f>
        <v>277</v>
      </c>
      <c r="L77" s="2">
        <f t="shared" ref="L77:O77" si="9">SUM(G72:G77)</f>
        <v>94</v>
      </c>
      <c r="M77" s="2">
        <f t="shared" si="9"/>
        <v>11</v>
      </c>
      <c r="N77" s="2">
        <f t="shared" si="9"/>
        <v>13</v>
      </c>
      <c r="O77" s="2">
        <f t="shared" si="9"/>
        <v>1</v>
      </c>
    </row>
    <row r="78" spans="1:15" x14ac:dyDescent="0.35">
      <c r="A78" s="9" t="s">
        <v>513</v>
      </c>
      <c r="B78" s="9" t="s">
        <v>514</v>
      </c>
      <c r="C78" s="9">
        <v>808</v>
      </c>
      <c r="D78" s="16" t="s">
        <v>92</v>
      </c>
      <c r="E78" s="17" t="s">
        <v>17</v>
      </c>
      <c r="F78" s="13">
        <v>46</v>
      </c>
      <c r="G78" s="13">
        <v>15</v>
      </c>
      <c r="H78" s="15">
        <v>0</v>
      </c>
      <c r="I78" s="15">
        <v>0</v>
      </c>
      <c r="J78" s="15">
        <v>0</v>
      </c>
    </row>
    <row r="79" spans="1:15" x14ac:dyDescent="0.35">
      <c r="A79" s="73"/>
      <c r="B79" s="73"/>
      <c r="C79" s="73"/>
      <c r="D79" s="16" t="s">
        <v>92</v>
      </c>
      <c r="E79" s="17" t="s">
        <v>2</v>
      </c>
      <c r="F79" s="13">
        <v>101</v>
      </c>
      <c r="G79" s="13">
        <v>24</v>
      </c>
      <c r="H79" s="13">
        <v>1</v>
      </c>
      <c r="I79" s="13">
        <v>5</v>
      </c>
      <c r="J79" s="15">
        <v>0</v>
      </c>
    </row>
    <row r="80" spans="1:15" x14ac:dyDescent="0.35">
      <c r="A80" s="73"/>
      <c r="B80" s="73"/>
      <c r="C80" s="73"/>
      <c r="D80" s="16" t="s">
        <v>92</v>
      </c>
      <c r="E80" s="17" t="s">
        <v>3</v>
      </c>
      <c r="F80" s="13">
        <v>46</v>
      </c>
      <c r="G80" s="13">
        <v>10</v>
      </c>
      <c r="H80" s="15">
        <v>0</v>
      </c>
      <c r="I80" s="13">
        <v>1</v>
      </c>
      <c r="J80" s="15">
        <v>0</v>
      </c>
    </row>
    <row r="81" spans="1:15" x14ac:dyDescent="0.35">
      <c r="A81" s="73"/>
      <c r="B81" s="73"/>
      <c r="C81" s="73"/>
      <c r="D81" s="16" t="s">
        <v>92</v>
      </c>
      <c r="E81" s="17" t="s">
        <v>4</v>
      </c>
      <c r="F81" s="13">
        <v>57</v>
      </c>
      <c r="G81" s="13">
        <v>12</v>
      </c>
      <c r="H81" s="15">
        <v>0</v>
      </c>
      <c r="I81" s="13">
        <v>1</v>
      </c>
      <c r="J81" s="15">
        <v>0</v>
      </c>
    </row>
    <row r="82" spans="1:15" x14ac:dyDescent="0.35">
      <c r="A82" s="73"/>
      <c r="B82" s="73"/>
      <c r="C82" s="73"/>
      <c r="D82" s="16" t="s">
        <v>92</v>
      </c>
      <c r="E82" s="17" t="s">
        <v>5</v>
      </c>
      <c r="F82" s="13">
        <v>22</v>
      </c>
      <c r="G82" s="13">
        <v>20</v>
      </c>
      <c r="H82" s="15">
        <v>0</v>
      </c>
      <c r="I82" s="15">
        <v>0</v>
      </c>
      <c r="J82" s="15">
        <v>0</v>
      </c>
    </row>
    <row r="83" spans="1:15" x14ac:dyDescent="0.35">
      <c r="A83" s="73"/>
      <c r="B83" s="73"/>
      <c r="C83" s="73"/>
      <c r="D83" s="16" t="s">
        <v>92</v>
      </c>
      <c r="E83" s="17" t="s">
        <v>6</v>
      </c>
      <c r="F83" s="13">
        <v>24</v>
      </c>
      <c r="G83" s="13">
        <v>17</v>
      </c>
      <c r="H83" s="15">
        <v>0</v>
      </c>
      <c r="I83" s="13">
        <v>1</v>
      </c>
      <c r="J83" s="15">
        <v>0</v>
      </c>
    </row>
    <row r="84" spans="1:15" x14ac:dyDescent="0.35">
      <c r="A84" s="73"/>
      <c r="B84" s="73"/>
      <c r="C84" s="73"/>
      <c r="D84" s="16" t="s">
        <v>92</v>
      </c>
      <c r="E84" s="17" t="s">
        <v>7</v>
      </c>
      <c r="F84" s="13">
        <v>39</v>
      </c>
      <c r="G84" s="13">
        <v>29</v>
      </c>
      <c r="H84" s="13">
        <v>3</v>
      </c>
      <c r="I84" s="15">
        <v>0</v>
      </c>
      <c r="J84" s="15">
        <v>0</v>
      </c>
    </row>
    <row r="85" spans="1:15" x14ac:dyDescent="0.35">
      <c r="A85" s="73"/>
      <c r="B85" s="73"/>
      <c r="C85" s="73"/>
      <c r="D85" s="16" t="s">
        <v>92</v>
      </c>
      <c r="E85" s="17" t="s">
        <v>8</v>
      </c>
      <c r="F85" s="13">
        <v>10</v>
      </c>
      <c r="G85" s="13">
        <v>7</v>
      </c>
      <c r="H85" s="15">
        <v>0</v>
      </c>
      <c r="I85" s="15">
        <v>0</v>
      </c>
      <c r="J85" s="15">
        <v>0</v>
      </c>
    </row>
    <row r="86" spans="1:15" x14ac:dyDescent="0.35">
      <c r="A86" s="73"/>
      <c r="B86" s="73"/>
      <c r="C86" s="73"/>
      <c r="D86" s="16" t="s">
        <v>92</v>
      </c>
      <c r="E86" s="17" t="s">
        <v>9</v>
      </c>
      <c r="F86" s="13">
        <v>89</v>
      </c>
      <c r="G86" s="13">
        <v>33</v>
      </c>
      <c r="H86" s="15">
        <v>0</v>
      </c>
      <c r="I86" s="13">
        <v>4</v>
      </c>
      <c r="J86" s="15">
        <v>2</v>
      </c>
      <c r="K86" s="2">
        <f>SUM(F78:F86)</f>
        <v>434</v>
      </c>
      <c r="L86" s="2">
        <f t="shared" ref="L86:O86" si="10">SUM(G78:G86)</f>
        <v>167</v>
      </c>
      <c r="M86" s="2">
        <f t="shared" si="10"/>
        <v>4</v>
      </c>
      <c r="N86" s="2">
        <f t="shared" si="10"/>
        <v>12</v>
      </c>
      <c r="O86" s="2">
        <f t="shared" si="10"/>
        <v>2</v>
      </c>
    </row>
    <row r="87" spans="1:15" x14ac:dyDescent="0.35">
      <c r="A87" s="4" t="s">
        <v>515</v>
      </c>
      <c r="B87" s="4" t="s">
        <v>516</v>
      </c>
      <c r="C87" s="4">
        <v>448</v>
      </c>
      <c r="D87" s="16" t="s">
        <v>93</v>
      </c>
      <c r="E87" s="17" t="s">
        <v>17</v>
      </c>
      <c r="F87" s="12">
        <v>24</v>
      </c>
      <c r="G87" s="12">
        <v>5</v>
      </c>
      <c r="H87" s="14">
        <v>0</v>
      </c>
      <c r="I87" s="12">
        <v>1</v>
      </c>
      <c r="J87" s="14">
        <v>0</v>
      </c>
    </row>
    <row r="88" spans="1:15" x14ac:dyDescent="0.35">
      <c r="A88" s="79"/>
      <c r="B88" s="79"/>
      <c r="C88" s="79"/>
      <c r="D88" s="16" t="s">
        <v>93</v>
      </c>
      <c r="E88" s="17" t="s">
        <v>2</v>
      </c>
      <c r="F88" s="12">
        <v>72</v>
      </c>
      <c r="G88" s="12">
        <v>39</v>
      </c>
      <c r="H88" s="14">
        <v>0</v>
      </c>
      <c r="I88" s="12">
        <v>4</v>
      </c>
      <c r="J88" s="14">
        <v>1</v>
      </c>
    </row>
    <row r="89" spans="1:15" x14ac:dyDescent="0.35">
      <c r="A89" s="79"/>
      <c r="B89" s="79"/>
      <c r="C89" s="79"/>
      <c r="D89" s="16" t="s">
        <v>93</v>
      </c>
      <c r="E89" s="17" t="s">
        <v>3</v>
      </c>
      <c r="F89" s="12">
        <v>60</v>
      </c>
      <c r="G89" s="12">
        <v>8</v>
      </c>
      <c r="H89" s="14">
        <v>0</v>
      </c>
      <c r="I89" s="12">
        <v>3</v>
      </c>
      <c r="J89" s="14">
        <v>0</v>
      </c>
    </row>
    <row r="90" spans="1:15" x14ac:dyDescent="0.35">
      <c r="A90" s="79"/>
      <c r="B90" s="79"/>
      <c r="C90" s="79"/>
      <c r="D90" s="16" t="s">
        <v>93</v>
      </c>
      <c r="E90" s="17" t="s">
        <v>4</v>
      </c>
      <c r="F90" s="12">
        <v>49</v>
      </c>
      <c r="G90" s="12">
        <v>18</v>
      </c>
      <c r="H90" s="12">
        <v>6</v>
      </c>
      <c r="I90" s="12">
        <v>6</v>
      </c>
      <c r="J90" s="14">
        <v>3</v>
      </c>
    </row>
    <row r="91" spans="1:15" x14ac:dyDescent="0.35">
      <c r="A91" s="79"/>
      <c r="B91" s="79"/>
      <c r="C91" s="79"/>
      <c r="D91" s="16" t="s">
        <v>93</v>
      </c>
      <c r="E91" s="17" t="s">
        <v>5</v>
      </c>
      <c r="F91" s="12">
        <v>35</v>
      </c>
      <c r="G91" s="12">
        <v>47</v>
      </c>
      <c r="H91" s="12">
        <v>1</v>
      </c>
      <c r="I91" s="12">
        <v>4</v>
      </c>
      <c r="J91" s="14">
        <v>1</v>
      </c>
      <c r="K91" s="2">
        <f>SUM(F87:F91)</f>
        <v>240</v>
      </c>
      <c r="L91" s="2">
        <f t="shared" ref="L91:O91" si="11">SUM(G87:G91)</f>
        <v>117</v>
      </c>
      <c r="M91" s="2">
        <f t="shared" si="11"/>
        <v>7</v>
      </c>
      <c r="N91" s="2">
        <f t="shared" si="11"/>
        <v>18</v>
      </c>
      <c r="O91" s="2">
        <f t="shared" si="11"/>
        <v>5</v>
      </c>
    </row>
    <row r="92" spans="1:15" x14ac:dyDescent="0.35">
      <c r="A92" s="9" t="s">
        <v>517</v>
      </c>
      <c r="B92" s="9" t="s">
        <v>518</v>
      </c>
      <c r="C92" s="9">
        <v>374</v>
      </c>
      <c r="D92" s="16" t="s">
        <v>94</v>
      </c>
      <c r="E92" s="17" t="s">
        <v>17</v>
      </c>
      <c r="F92" s="13">
        <v>61</v>
      </c>
      <c r="G92" s="13">
        <v>16</v>
      </c>
      <c r="H92" s="13">
        <v>5</v>
      </c>
      <c r="I92" s="15">
        <v>0</v>
      </c>
      <c r="J92" s="15">
        <v>0</v>
      </c>
    </row>
    <row r="93" spans="1:15" x14ac:dyDescent="0.35">
      <c r="A93" s="73"/>
      <c r="B93" s="73"/>
      <c r="C93" s="73"/>
      <c r="D93" s="16" t="s">
        <v>94</v>
      </c>
      <c r="E93" s="17" t="s">
        <v>2</v>
      </c>
      <c r="F93" s="13">
        <v>44</v>
      </c>
      <c r="G93" s="13">
        <v>19</v>
      </c>
      <c r="H93" s="13">
        <v>5</v>
      </c>
      <c r="I93" s="15">
        <v>0</v>
      </c>
      <c r="J93" s="15">
        <v>0</v>
      </c>
    </row>
    <row r="94" spans="1:15" x14ac:dyDescent="0.35">
      <c r="A94" s="73"/>
      <c r="B94" s="73"/>
      <c r="C94" s="73"/>
      <c r="D94" s="16" t="s">
        <v>94</v>
      </c>
      <c r="E94" s="17" t="s">
        <v>3</v>
      </c>
      <c r="F94" s="13">
        <v>53</v>
      </c>
      <c r="G94" s="13">
        <v>19</v>
      </c>
      <c r="H94" s="13">
        <v>1</v>
      </c>
      <c r="I94" s="13">
        <v>4</v>
      </c>
      <c r="J94" s="15">
        <v>0</v>
      </c>
    </row>
    <row r="95" spans="1:15" x14ac:dyDescent="0.35">
      <c r="A95" s="73"/>
      <c r="B95" s="73"/>
      <c r="C95" s="73"/>
      <c r="D95" s="16" t="s">
        <v>94</v>
      </c>
      <c r="E95" s="17" t="s">
        <v>4</v>
      </c>
      <c r="F95" s="13">
        <v>38</v>
      </c>
      <c r="G95" s="13">
        <v>12</v>
      </c>
      <c r="H95" s="15">
        <v>0</v>
      </c>
      <c r="I95" s="13">
        <v>1</v>
      </c>
      <c r="J95" s="15">
        <v>0</v>
      </c>
      <c r="K95" s="2">
        <f>SUM(F92:F95)</f>
        <v>196</v>
      </c>
      <c r="L95" s="2">
        <f t="shared" ref="L95:O95" si="12">SUM(G92:G95)</f>
        <v>66</v>
      </c>
      <c r="M95" s="2">
        <f t="shared" si="12"/>
        <v>11</v>
      </c>
      <c r="N95" s="2">
        <f t="shared" si="12"/>
        <v>5</v>
      </c>
      <c r="O95" s="2">
        <f t="shared" si="12"/>
        <v>0</v>
      </c>
    </row>
    <row r="96" spans="1:15" x14ac:dyDescent="0.35">
      <c r="A96" s="4" t="s">
        <v>519</v>
      </c>
      <c r="B96" s="4" t="s">
        <v>520</v>
      </c>
      <c r="C96" s="4">
        <v>702</v>
      </c>
      <c r="D96" s="16" t="s">
        <v>95</v>
      </c>
      <c r="E96" s="17" t="s">
        <v>17</v>
      </c>
      <c r="F96" s="12">
        <v>52</v>
      </c>
      <c r="G96" s="12">
        <v>8</v>
      </c>
      <c r="H96" s="12">
        <v>1</v>
      </c>
      <c r="I96" s="12">
        <v>0</v>
      </c>
      <c r="J96" s="14">
        <v>1</v>
      </c>
    </row>
    <row r="97" spans="1:15" x14ac:dyDescent="0.35">
      <c r="A97" s="79"/>
      <c r="B97" s="79"/>
      <c r="C97" s="79"/>
      <c r="D97" s="16" t="s">
        <v>95</v>
      </c>
      <c r="E97" s="17" t="s">
        <v>2</v>
      </c>
      <c r="F97" s="12">
        <v>33</v>
      </c>
      <c r="G97" s="12">
        <v>50</v>
      </c>
      <c r="H97" s="12">
        <v>2</v>
      </c>
      <c r="I97" s="12">
        <v>5</v>
      </c>
      <c r="J97" s="14">
        <v>0</v>
      </c>
    </row>
    <row r="98" spans="1:15" x14ac:dyDescent="0.35">
      <c r="A98" s="79"/>
      <c r="B98" s="79"/>
      <c r="C98" s="79"/>
      <c r="D98" s="16" t="s">
        <v>95</v>
      </c>
      <c r="E98" s="17" t="s">
        <v>3</v>
      </c>
      <c r="F98" s="12">
        <v>40</v>
      </c>
      <c r="G98" s="12">
        <v>4</v>
      </c>
      <c r="H98" s="12">
        <v>2</v>
      </c>
      <c r="I98" s="14">
        <v>0</v>
      </c>
      <c r="J98" s="14">
        <v>1</v>
      </c>
    </row>
    <row r="99" spans="1:15" x14ac:dyDescent="0.35">
      <c r="A99" s="79"/>
      <c r="B99" s="79"/>
      <c r="C99" s="79"/>
      <c r="D99" s="16" t="s">
        <v>95</v>
      </c>
      <c r="E99" s="17" t="s">
        <v>4</v>
      </c>
      <c r="F99" s="12">
        <v>60</v>
      </c>
      <c r="G99" s="12">
        <v>25</v>
      </c>
      <c r="H99" s="12">
        <v>3</v>
      </c>
      <c r="I99" s="12">
        <v>5</v>
      </c>
      <c r="J99" s="14">
        <v>1</v>
      </c>
    </row>
    <row r="100" spans="1:15" x14ac:dyDescent="0.35">
      <c r="A100" s="79"/>
      <c r="B100" s="79"/>
      <c r="C100" s="79"/>
      <c r="D100" s="16" t="s">
        <v>95</v>
      </c>
      <c r="E100" s="17" t="s">
        <v>5</v>
      </c>
      <c r="F100" s="12">
        <v>27</v>
      </c>
      <c r="G100" s="12">
        <v>18</v>
      </c>
      <c r="H100" s="12">
        <v>1</v>
      </c>
      <c r="I100" s="12">
        <v>3</v>
      </c>
      <c r="J100" s="14">
        <v>1</v>
      </c>
    </row>
    <row r="101" spans="1:15" x14ac:dyDescent="0.35">
      <c r="A101" s="79"/>
      <c r="B101" s="79"/>
      <c r="C101" s="79"/>
      <c r="D101" s="16" t="s">
        <v>95</v>
      </c>
      <c r="E101" s="17" t="s">
        <v>6</v>
      </c>
      <c r="F101" s="12">
        <v>80</v>
      </c>
      <c r="G101" s="12">
        <v>3</v>
      </c>
      <c r="H101" s="12">
        <v>1</v>
      </c>
      <c r="I101" s="12">
        <v>2</v>
      </c>
      <c r="J101" s="14">
        <v>0</v>
      </c>
    </row>
    <row r="102" spans="1:15" x14ac:dyDescent="0.35">
      <c r="A102" s="79"/>
      <c r="B102" s="79"/>
      <c r="C102" s="79"/>
      <c r="D102" s="16" t="s">
        <v>95</v>
      </c>
      <c r="E102" s="17" t="s">
        <v>7</v>
      </c>
      <c r="F102" s="12">
        <v>57</v>
      </c>
      <c r="G102" s="12">
        <v>7</v>
      </c>
      <c r="H102" s="12">
        <v>3</v>
      </c>
      <c r="I102" s="12">
        <v>5</v>
      </c>
      <c r="J102" s="14">
        <v>0</v>
      </c>
    </row>
    <row r="103" spans="1:15" x14ac:dyDescent="0.35">
      <c r="A103" s="79"/>
      <c r="B103" s="79"/>
      <c r="C103" s="79"/>
      <c r="D103" s="16" t="s">
        <v>95</v>
      </c>
      <c r="E103" s="17" t="s">
        <v>8</v>
      </c>
      <c r="F103" s="12">
        <v>57</v>
      </c>
      <c r="G103" s="12">
        <v>4</v>
      </c>
      <c r="H103" s="14">
        <v>0</v>
      </c>
      <c r="I103" s="12">
        <v>2</v>
      </c>
      <c r="J103" s="14">
        <v>0</v>
      </c>
      <c r="K103" s="2">
        <f>SUM(F96:F103)</f>
        <v>406</v>
      </c>
      <c r="L103" s="2">
        <f t="shared" ref="L103:O103" si="13">SUM(G96:G103)</f>
        <v>119</v>
      </c>
      <c r="M103" s="2">
        <f t="shared" si="13"/>
        <v>13</v>
      </c>
      <c r="N103" s="2">
        <f t="shared" si="13"/>
        <v>22</v>
      </c>
      <c r="O103" s="2">
        <f t="shared" si="13"/>
        <v>4</v>
      </c>
    </row>
    <row r="104" spans="1:15" x14ac:dyDescent="0.35">
      <c r="A104" s="9" t="s">
        <v>521</v>
      </c>
      <c r="B104" s="9" t="s">
        <v>522</v>
      </c>
      <c r="C104" s="9">
        <v>1004</v>
      </c>
      <c r="D104" s="16" t="s">
        <v>96</v>
      </c>
      <c r="E104" s="17" t="s">
        <v>17</v>
      </c>
      <c r="F104" s="13">
        <v>65</v>
      </c>
      <c r="G104" s="13">
        <v>17</v>
      </c>
      <c r="H104" s="13">
        <v>1</v>
      </c>
      <c r="I104" s="13">
        <v>4</v>
      </c>
      <c r="J104" s="15">
        <v>0</v>
      </c>
    </row>
    <row r="105" spans="1:15" x14ac:dyDescent="0.35">
      <c r="A105" s="73"/>
      <c r="B105" s="73"/>
      <c r="C105" s="73"/>
      <c r="D105" s="16" t="s">
        <v>96</v>
      </c>
      <c r="E105" s="17" t="s">
        <v>2</v>
      </c>
      <c r="F105" s="13">
        <v>62</v>
      </c>
      <c r="G105" s="13">
        <v>29</v>
      </c>
      <c r="H105" s="13">
        <v>6</v>
      </c>
      <c r="I105" s="15">
        <v>0</v>
      </c>
      <c r="J105" s="15">
        <v>2</v>
      </c>
    </row>
    <row r="106" spans="1:15" x14ac:dyDescent="0.35">
      <c r="A106" s="73"/>
      <c r="B106" s="73"/>
      <c r="C106" s="73"/>
      <c r="D106" s="16" t="s">
        <v>96</v>
      </c>
      <c r="E106" s="17" t="s">
        <v>3</v>
      </c>
      <c r="F106" s="13">
        <v>157</v>
      </c>
      <c r="G106" s="13">
        <v>46</v>
      </c>
      <c r="H106" s="13">
        <v>3</v>
      </c>
      <c r="I106" s="13">
        <v>7</v>
      </c>
      <c r="J106" s="15">
        <v>2</v>
      </c>
    </row>
    <row r="107" spans="1:15" x14ac:dyDescent="0.35">
      <c r="A107" s="73"/>
      <c r="B107" s="73"/>
      <c r="C107" s="73"/>
      <c r="D107" s="16" t="s">
        <v>96</v>
      </c>
      <c r="E107" s="17" t="s">
        <v>4</v>
      </c>
      <c r="F107" s="13">
        <v>138</v>
      </c>
      <c r="G107" s="13">
        <v>37</v>
      </c>
      <c r="H107" s="13">
        <v>3</v>
      </c>
      <c r="I107" s="13">
        <v>9</v>
      </c>
      <c r="J107" s="15">
        <v>1</v>
      </c>
    </row>
    <row r="108" spans="1:15" x14ac:dyDescent="0.35">
      <c r="A108" s="73"/>
      <c r="B108" s="73"/>
      <c r="C108" s="73"/>
      <c r="D108" s="16" t="s">
        <v>96</v>
      </c>
      <c r="E108" s="17" t="s">
        <v>5</v>
      </c>
      <c r="F108" s="13">
        <v>68</v>
      </c>
      <c r="G108" s="13">
        <v>64</v>
      </c>
      <c r="H108" s="13">
        <v>3</v>
      </c>
      <c r="I108" s="13">
        <v>5</v>
      </c>
      <c r="J108" s="15">
        <v>0</v>
      </c>
      <c r="K108" s="2">
        <f>SUM(F104:F108)</f>
        <v>490</v>
      </c>
      <c r="L108" s="2">
        <f t="shared" ref="L108:O108" si="14">SUM(G104:G108)</f>
        <v>193</v>
      </c>
      <c r="M108" s="2">
        <f t="shared" si="14"/>
        <v>16</v>
      </c>
      <c r="N108" s="2">
        <f t="shared" si="14"/>
        <v>25</v>
      </c>
      <c r="O108" s="2">
        <f t="shared" si="14"/>
        <v>5</v>
      </c>
    </row>
    <row r="109" spans="1:15" x14ac:dyDescent="0.35">
      <c r="A109" s="4" t="s">
        <v>306</v>
      </c>
      <c r="B109" s="4" t="s">
        <v>307</v>
      </c>
      <c r="C109" s="4">
        <v>2116</v>
      </c>
      <c r="D109" s="16" t="s">
        <v>97</v>
      </c>
      <c r="E109" s="17" t="s">
        <v>17</v>
      </c>
      <c r="F109" s="12">
        <v>82</v>
      </c>
      <c r="G109" s="12">
        <v>25</v>
      </c>
      <c r="H109" s="12">
        <v>4</v>
      </c>
      <c r="I109" s="12">
        <v>3</v>
      </c>
      <c r="J109" s="14">
        <v>1</v>
      </c>
    </row>
    <row r="110" spans="1:15" x14ac:dyDescent="0.35">
      <c r="A110" s="79"/>
      <c r="B110" s="79"/>
      <c r="C110" s="79"/>
      <c r="D110" s="16" t="s">
        <v>97</v>
      </c>
      <c r="E110" s="17" t="s">
        <v>2</v>
      </c>
      <c r="F110" s="12">
        <v>42</v>
      </c>
      <c r="G110" s="12">
        <v>22</v>
      </c>
      <c r="H110" s="14">
        <v>0</v>
      </c>
      <c r="I110" s="12">
        <v>2</v>
      </c>
      <c r="J110" s="14">
        <v>0</v>
      </c>
    </row>
    <row r="111" spans="1:15" x14ac:dyDescent="0.35">
      <c r="A111" s="79"/>
      <c r="B111" s="79"/>
      <c r="C111" s="79"/>
      <c r="D111" s="16" t="s">
        <v>97</v>
      </c>
      <c r="E111" s="17" t="s">
        <v>3</v>
      </c>
      <c r="F111" s="12">
        <v>86</v>
      </c>
      <c r="G111" s="12">
        <v>37</v>
      </c>
      <c r="H111" s="14">
        <v>0</v>
      </c>
      <c r="I111" s="12">
        <v>5</v>
      </c>
      <c r="J111" s="14">
        <v>0</v>
      </c>
    </row>
    <row r="112" spans="1:15" x14ac:dyDescent="0.35">
      <c r="A112" s="79"/>
      <c r="B112" s="79"/>
      <c r="C112" s="79"/>
      <c r="D112" s="16" t="s">
        <v>97</v>
      </c>
      <c r="E112" s="17" t="s">
        <v>4</v>
      </c>
      <c r="F112" s="12">
        <v>61</v>
      </c>
      <c r="G112" s="12">
        <v>49</v>
      </c>
      <c r="H112" s="12">
        <v>1</v>
      </c>
      <c r="I112" s="12">
        <v>9</v>
      </c>
      <c r="J112" s="14">
        <v>0</v>
      </c>
    </row>
    <row r="113" spans="1:15" x14ac:dyDescent="0.35">
      <c r="A113" s="79"/>
      <c r="B113" s="79"/>
      <c r="C113" s="79"/>
      <c r="D113" s="16" t="s">
        <v>97</v>
      </c>
      <c r="E113" s="17" t="s">
        <v>5</v>
      </c>
      <c r="F113" s="12">
        <v>161</v>
      </c>
      <c r="G113" s="12">
        <v>57</v>
      </c>
      <c r="H113" s="12">
        <v>2</v>
      </c>
      <c r="I113" s="12">
        <v>8</v>
      </c>
      <c r="J113" s="12">
        <v>1</v>
      </c>
    </row>
    <row r="114" spans="1:15" x14ac:dyDescent="0.35">
      <c r="A114" s="79"/>
      <c r="B114" s="79"/>
      <c r="C114" s="79"/>
      <c r="D114" s="16" t="s">
        <v>97</v>
      </c>
      <c r="E114" s="17" t="s">
        <v>6</v>
      </c>
      <c r="F114" s="12">
        <v>193</v>
      </c>
      <c r="G114" s="12">
        <v>79</v>
      </c>
      <c r="H114" s="12">
        <v>2</v>
      </c>
      <c r="I114" s="12">
        <v>3</v>
      </c>
      <c r="J114" s="14">
        <v>0</v>
      </c>
    </row>
    <row r="115" spans="1:15" x14ac:dyDescent="0.35">
      <c r="A115" s="79"/>
      <c r="B115" s="79"/>
      <c r="C115" s="79"/>
      <c r="D115" s="16" t="s">
        <v>97</v>
      </c>
      <c r="E115" s="17" t="s">
        <v>7</v>
      </c>
      <c r="F115" s="12">
        <v>51</v>
      </c>
      <c r="G115" s="12">
        <v>23</v>
      </c>
      <c r="H115" s="12">
        <v>0</v>
      </c>
      <c r="I115" s="14">
        <v>0</v>
      </c>
      <c r="J115" s="14">
        <v>0</v>
      </c>
    </row>
    <row r="116" spans="1:15" x14ac:dyDescent="0.35">
      <c r="A116" s="79"/>
      <c r="B116" s="79"/>
      <c r="C116" s="79"/>
      <c r="D116" s="16" t="s">
        <v>97</v>
      </c>
      <c r="E116" s="17" t="s">
        <v>8</v>
      </c>
      <c r="F116" s="12">
        <v>100</v>
      </c>
      <c r="G116" s="12">
        <v>50</v>
      </c>
      <c r="H116" s="12">
        <v>6</v>
      </c>
      <c r="I116" s="12">
        <v>9</v>
      </c>
      <c r="J116" s="14">
        <v>0</v>
      </c>
    </row>
    <row r="117" spans="1:15" x14ac:dyDescent="0.35">
      <c r="A117" s="79"/>
      <c r="B117" s="79"/>
      <c r="C117" s="79"/>
      <c r="D117" s="16" t="s">
        <v>97</v>
      </c>
      <c r="E117" s="17" t="s">
        <v>9</v>
      </c>
      <c r="F117" s="12">
        <v>168</v>
      </c>
      <c r="G117" s="12">
        <v>97</v>
      </c>
      <c r="H117" s="12">
        <v>7</v>
      </c>
      <c r="I117" s="12">
        <v>7</v>
      </c>
      <c r="J117" s="14">
        <v>0</v>
      </c>
      <c r="K117" s="2">
        <f>SUM(F109:F117)</f>
        <v>944</v>
      </c>
      <c r="L117" s="2">
        <f t="shared" ref="L117:O117" si="15">SUM(G109:G117)</f>
        <v>439</v>
      </c>
      <c r="M117" s="2">
        <f t="shared" si="15"/>
        <v>22</v>
      </c>
      <c r="N117" s="2">
        <f t="shared" si="15"/>
        <v>46</v>
      </c>
      <c r="O117" s="2">
        <f t="shared" si="15"/>
        <v>2</v>
      </c>
    </row>
    <row r="118" spans="1:15" x14ac:dyDescent="0.35">
      <c r="A118" s="80"/>
      <c r="B118" s="80" t="s">
        <v>728</v>
      </c>
      <c r="C118" s="80">
        <f>SUM(C5:C109)</f>
        <v>20900</v>
      </c>
      <c r="D118" s="336" t="s">
        <v>229</v>
      </c>
      <c r="E118" s="337"/>
      <c r="F118" s="20">
        <f>SUM(F5:F117)</f>
        <v>8674</v>
      </c>
      <c r="G118" s="20">
        <f>SUM(G5:G117)</f>
        <v>3549</v>
      </c>
      <c r="H118" s="20">
        <f>SUM(H5:H117)</f>
        <v>321</v>
      </c>
      <c r="I118" s="20">
        <f>SUM(I5:I117)</f>
        <v>469</v>
      </c>
      <c r="J118" s="20">
        <f>SUM(J5:J117)</f>
        <v>66</v>
      </c>
    </row>
    <row r="119" spans="1:15" x14ac:dyDescent="0.35">
      <c r="B119" s="18" t="s">
        <v>729</v>
      </c>
      <c r="C119" s="81">
        <f>SUM(C118,F118,G118,H118,I118,J118)</f>
        <v>33979</v>
      </c>
    </row>
  </sheetData>
  <mergeCells count="6">
    <mergeCell ref="D118:E118"/>
    <mergeCell ref="D1:J1"/>
    <mergeCell ref="D2:J2"/>
    <mergeCell ref="F3:J3"/>
    <mergeCell ref="A1:C1"/>
    <mergeCell ref="A2:C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4"/>
  <sheetViews>
    <sheetView workbookViewId="0">
      <selection sqref="A1:C1"/>
    </sheetView>
  </sheetViews>
  <sheetFormatPr defaultRowHeight="21" x14ac:dyDescent="0.35"/>
  <cols>
    <col min="1" max="1" width="12.42578125" style="2" customWidth="1"/>
    <col min="2" max="2" width="18.42578125" style="2" customWidth="1"/>
    <col min="3" max="3" width="20.7109375" style="94" customWidth="1"/>
    <col min="4" max="4" width="14" style="2" customWidth="1"/>
    <col min="5" max="5" width="9.140625" style="22"/>
    <col min="6" max="6" width="14.28515625" style="22" customWidth="1"/>
    <col min="7" max="7" width="14.5703125" style="22" customWidth="1"/>
    <col min="8" max="8" width="9.85546875" style="22" customWidth="1"/>
    <col min="9" max="9" width="20.28515625" style="22" customWidth="1"/>
    <col min="10" max="10" width="13.140625" style="22" customWidth="1"/>
    <col min="11" max="16384" width="9.140625" style="2"/>
  </cols>
  <sheetData>
    <row r="1" spans="1:10" x14ac:dyDescent="0.35">
      <c r="A1" s="334" t="s">
        <v>730</v>
      </c>
      <c r="B1" s="334"/>
      <c r="C1" s="334"/>
      <c r="D1" s="330" t="s">
        <v>245</v>
      </c>
      <c r="E1" s="330"/>
      <c r="F1" s="330"/>
      <c r="G1" s="330"/>
      <c r="H1" s="330"/>
      <c r="I1" s="330"/>
      <c r="J1" s="330"/>
    </row>
    <row r="2" spans="1:10" x14ac:dyDescent="0.35">
      <c r="A2" s="334" t="s">
        <v>861</v>
      </c>
      <c r="B2" s="334"/>
      <c r="C2" s="334"/>
      <c r="D2" s="330" t="s">
        <v>862</v>
      </c>
      <c r="E2" s="330"/>
      <c r="F2" s="330"/>
      <c r="G2" s="330"/>
      <c r="H2" s="330"/>
      <c r="I2" s="330"/>
      <c r="J2" s="330"/>
    </row>
    <row r="3" spans="1:10" x14ac:dyDescent="0.35">
      <c r="D3" s="44"/>
      <c r="E3" s="44"/>
      <c r="F3" s="335" t="s">
        <v>716</v>
      </c>
      <c r="G3" s="335"/>
      <c r="H3" s="335"/>
      <c r="I3" s="335"/>
      <c r="J3" s="335"/>
    </row>
    <row r="4" spans="1:10" x14ac:dyDescent="0.35">
      <c r="A4" s="85" t="s">
        <v>714</v>
      </c>
      <c r="B4" s="85" t="s">
        <v>254</v>
      </c>
      <c r="C4" s="86" t="s">
        <v>715</v>
      </c>
      <c r="D4" s="18" t="s">
        <v>223</v>
      </c>
      <c r="E4" s="19" t="s">
        <v>222</v>
      </c>
      <c r="F4" s="19" t="s">
        <v>218</v>
      </c>
      <c r="G4" s="19" t="s">
        <v>219</v>
      </c>
      <c r="H4" s="19" t="s">
        <v>220</v>
      </c>
      <c r="I4" s="19" t="s">
        <v>244</v>
      </c>
      <c r="J4" s="19" t="s">
        <v>221</v>
      </c>
    </row>
    <row r="5" spans="1:10" x14ac:dyDescent="0.35">
      <c r="A5" s="9" t="s">
        <v>523</v>
      </c>
      <c r="B5" s="9" t="s">
        <v>524</v>
      </c>
      <c r="C5" s="96">
        <v>8299</v>
      </c>
      <c r="D5" s="16" t="s">
        <v>98</v>
      </c>
      <c r="E5" s="17" t="s">
        <v>0</v>
      </c>
      <c r="F5" s="13">
        <v>4</v>
      </c>
      <c r="G5" s="13">
        <v>19</v>
      </c>
      <c r="H5" s="15">
        <v>0</v>
      </c>
      <c r="I5" s="13">
        <v>1</v>
      </c>
      <c r="J5" s="13">
        <v>21</v>
      </c>
    </row>
    <row r="6" spans="1:10" x14ac:dyDescent="0.35">
      <c r="A6" s="73"/>
      <c r="B6" s="73"/>
      <c r="C6" s="97"/>
      <c r="D6" s="16" t="s">
        <v>98</v>
      </c>
      <c r="E6" s="17" t="s">
        <v>17</v>
      </c>
      <c r="F6" s="13">
        <v>186</v>
      </c>
      <c r="G6" s="13">
        <v>48</v>
      </c>
      <c r="H6" s="13">
        <v>6</v>
      </c>
      <c r="I6" s="13">
        <v>9</v>
      </c>
      <c r="J6" s="15">
        <v>2</v>
      </c>
    </row>
    <row r="7" spans="1:10" x14ac:dyDescent="0.35">
      <c r="A7" s="73"/>
      <c r="B7" s="73"/>
      <c r="C7" s="97"/>
      <c r="D7" s="16" t="s">
        <v>98</v>
      </c>
      <c r="E7" s="17" t="s">
        <v>2</v>
      </c>
      <c r="F7" s="13">
        <v>261</v>
      </c>
      <c r="G7" s="13">
        <v>43</v>
      </c>
      <c r="H7" s="13">
        <v>7</v>
      </c>
      <c r="I7" s="13">
        <v>8</v>
      </c>
      <c r="J7" s="15">
        <v>0</v>
      </c>
    </row>
    <row r="8" spans="1:10" x14ac:dyDescent="0.35">
      <c r="A8" s="73"/>
      <c r="B8" s="73"/>
      <c r="C8" s="97"/>
      <c r="D8" s="16" t="s">
        <v>98</v>
      </c>
      <c r="E8" s="17" t="s">
        <v>3</v>
      </c>
      <c r="F8" s="13">
        <v>531</v>
      </c>
      <c r="G8" s="13">
        <v>172</v>
      </c>
      <c r="H8" s="13">
        <v>27</v>
      </c>
      <c r="I8" s="13">
        <v>25</v>
      </c>
      <c r="J8" s="15">
        <v>3</v>
      </c>
    </row>
    <row r="9" spans="1:10" x14ac:dyDescent="0.35">
      <c r="A9" s="73"/>
      <c r="B9" s="73"/>
      <c r="C9" s="97"/>
      <c r="D9" s="16" t="s">
        <v>98</v>
      </c>
      <c r="E9" s="17" t="s">
        <v>4</v>
      </c>
      <c r="F9" s="13">
        <v>285</v>
      </c>
      <c r="G9" s="13">
        <v>106</v>
      </c>
      <c r="H9" s="13">
        <v>8</v>
      </c>
      <c r="I9" s="13">
        <v>17</v>
      </c>
      <c r="J9" s="15">
        <v>3</v>
      </c>
    </row>
    <row r="10" spans="1:10" x14ac:dyDescent="0.35">
      <c r="A10" s="73"/>
      <c r="B10" s="73"/>
      <c r="C10" s="97"/>
      <c r="D10" s="16" t="s">
        <v>98</v>
      </c>
      <c r="E10" s="17" t="s">
        <v>5</v>
      </c>
      <c r="F10" s="13">
        <v>165</v>
      </c>
      <c r="G10" s="13">
        <v>109</v>
      </c>
      <c r="H10" s="13">
        <v>2</v>
      </c>
      <c r="I10" s="13">
        <v>11</v>
      </c>
      <c r="J10" s="13">
        <v>0</v>
      </c>
    </row>
    <row r="11" spans="1:10" x14ac:dyDescent="0.35">
      <c r="A11" s="73"/>
      <c r="B11" s="73"/>
      <c r="C11" s="97"/>
      <c r="D11" s="16" t="s">
        <v>98</v>
      </c>
      <c r="E11" s="17" t="s">
        <v>6</v>
      </c>
      <c r="F11" s="13">
        <v>430</v>
      </c>
      <c r="G11" s="13">
        <v>319</v>
      </c>
      <c r="H11" s="13">
        <v>24</v>
      </c>
      <c r="I11" s="13">
        <v>27</v>
      </c>
      <c r="J11" s="13">
        <v>5</v>
      </c>
    </row>
    <row r="12" spans="1:10" x14ac:dyDescent="0.35">
      <c r="A12" s="73"/>
      <c r="B12" s="73"/>
      <c r="C12" s="97"/>
      <c r="D12" s="16" t="s">
        <v>98</v>
      </c>
      <c r="E12" s="17" t="s">
        <v>7</v>
      </c>
      <c r="F12" s="13">
        <v>142</v>
      </c>
      <c r="G12" s="13">
        <v>63</v>
      </c>
      <c r="H12" s="13">
        <v>5</v>
      </c>
      <c r="I12" s="13">
        <v>10</v>
      </c>
      <c r="J12" s="15">
        <v>2</v>
      </c>
    </row>
    <row r="13" spans="1:10" x14ac:dyDescent="0.35">
      <c r="A13" s="73"/>
      <c r="B13" s="73"/>
      <c r="C13" s="97"/>
      <c r="D13" s="16" t="s">
        <v>98</v>
      </c>
      <c r="E13" s="17" t="s">
        <v>8</v>
      </c>
      <c r="F13" s="13">
        <v>105</v>
      </c>
      <c r="G13" s="13">
        <v>70</v>
      </c>
      <c r="H13" s="13">
        <v>5</v>
      </c>
      <c r="I13" s="13">
        <v>7</v>
      </c>
      <c r="J13" s="13">
        <v>2</v>
      </c>
    </row>
    <row r="14" spans="1:10" x14ac:dyDescent="0.35">
      <c r="A14" s="73"/>
      <c r="B14" s="73"/>
      <c r="C14" s="97"/>
      <c r="D14" s="16" t="s">
        <v>98</v>
      </c>
      <c r="E14" s="17" t="s">
        <v>9</v>
      </c>
      <c r="F14" s="13">
        <v>308</v>
      </c>
      <c r="G14" s="13">
        <v>122</v>
      </c>
      <c r="H14" s="13">
        <v>4</v>
      </c>
      <c r="I14" s="13">
        <v>11</v>
      </c>
      <c r="J14" s="15">
        <v>0</v>
      </c>
    </row>
    <row r="15" spans="1:10" x14ac:dyDescent="0.35">
      <c r="A15" s="73"/>
      <c r="B15" s="73"/>
      <c r="C15" s="97"/>
      <c r="D15" s="16" t="s">
        <v>98</v>
      </c>
      <c r="E15" s="17" t="s">
        <v>11</v>
      </c>
      <c r="F15" s="13">
        <v>263</v>
      </c>
      <c r="G15" s="13">
        <v>49</v>
      </c>
      <c r="H15" s="13">
        <v>7</v>
      </c>
      <c r="I15" s="13">
        <v>11</v>
      </c>
      <c r="J15" s="15">
        <v>1</v>
      </c>
    </row>
    <row r="16" spans="1:10" x14ac:dyDescent="0.35">
      <c r="A16" s="73"/>
      <c r="B16" s="73"/>
      <c r="C16" s="97"/>
      <c r="D16" s="16" t="s">
        <v>98</v>
      </c>
      <c r="E16" s="17" t="s">
        <v>12</v>
      </c>
      <c r="F16" s="13">
        <v>523</v>
      </c>
      <c r="G16" s="13">
        <v>130</v>
      </c>
      <c r="H16" s="13">
        <v>14</v>
      </c>
      <c r="I16" s="13">
        <v>24</v>
      </c>
      <c r="J16" s="13">
        <v>6</v>
      </c>
    </row>
    <row r="17" spans="1:15" x14ac:dyDescent="0.35">
      <c r="A17" s="73"/>
      <c r="B17" s="73"/>
      <c r="C17" s="97"/>
      <c r="D17" s="16" t="s">
        <v>98</v>
      </c>
      <c r="E17" s="17" t="s">
        <v>13</v>
      </c>
      <c r="F17" s="13">
        <v>179</v>
      </c>
      <c r="G17" s="13">
        <v>49</v>
      </c>
      <c r="H17" s="13">
        <v>6</v>
      </c>
      <c r="I17" s="13">
        <v>3</v>
      </c>
      <c r="J17" s="15">
        <v>2</v>
      </c>
    </row>
    <row r="18" spans="1:15" x14ac:dyDescent="0.35">
      <c r="A18" s="73"/>
      <c r="B18" s="73"/>
      <c r="C18" s="97"/>
      <c r="D18" s="16" t="s">
        <v>98</v>
      </c>
      <c r="E18" s="17" t="s">
        <v>15</v>
      </c>
      <c r="F18" s="13">
        <v>3</v>
      </c>
      <c r="G18" s="13">
        <v>8</v>
      </c>
      <c r="H18" s="15">
        <v>0</v>
      </c>
      <c r="I18" s="15">
        <v>0</v>
      </c>
      <c r="J18" s="15">
        <v>0</v>
      </c>
      <c r="K18" s="2">
        <f>SUM(F5:F18)</f>
        <v>3385</v>
      </c>
      <c r="L18" s="2">
        <f t="shared" ref="L18:O18" si="0">SUM(G5:G18)</f>
        <v>1307</v>
      </c>
      <c r="M18" s="2">
        <f t="shared" si="0"/>
        <v>115</v>
      </c>
      <c r="N18" s="2">
        <f t="shared" si="0"/>
        <v>164</v>
      </c>
      <c r="O18" s="2">
        <f t="shared" si="0"/>
        <v>47</v>
      </c>
    </row>
    <row r="19" spans="1:15" x14ac:dyDescent="0.35">
      <c r="A19" s="4" t="s">
        <v>525</v>
      </c>
      <c r="B19" s="4" t="s">
        <v>526</v>
      </c>
      <c r="C19" s="98">
        <v>2038</v>
      </c>
      <c r="D19" s="240" t="s">
        <v>80</v>
      </c>
      <c r="E19" s="238">
        <v>0</v>
      </c>
      <c r="F19" s="238">
        <v>0</v>
      </c>
      <c r="G19" s="238">
        <v>0</v>
      </c>
      <c r="H19" s="239">
        <v>0</v>
      </c>
      <c r="I19" s="238">
        <v>3</v>
      </c>
      <c r="J19" s="239">
        <v>0</v>
      </c>
    </row>
    <row r="20" spans="1:15" x14ac:dyDescent="0.35">
      <c r="A20" s="4"/>
      <c r="B20" s="4"/>
      <c r="C20" s="98"/>
      <c r="D20" s="240" t="s">
        <v>80</v>
      </c>
      <c r="E20" s="238" t="s">
        <v>17</v>
      </c>
      <c r="F20" s="238">
        <v>155</v>
      </c>
      <c r="G20" s="238">
        <v>21</v>
      </c>
      <c r="H20" s="238">
        <v>2</v>
      </c>
      <c r="I20" s="238">
        <v>10</v>
      </c>
      <c r="J20" s="239">
        <v>0</v>
      </c>
    </row>
    <row r="21" spans="1:15" x14ac:dyDescent="0.35">
      <c r="A21" s="4"/>
      <c r="B21" s="4"/>
      <c r="C21" s="98"/>
      <c r="D21" s="240" t="s">
        <v>80</v>
      </c>
      <c r="E21" s="238" t="s">
        <v>2</v>
      </c>
      <c r="F21" s="238">
        <v>119</v>
      </c>
      <c r="G21" s="238">
        <v>12</v>
      </c>
      <c r="H21" s="239">
        <v>0</v>
      </c>
      <c r="I21" s="238">
        <v>3</v>
      </c>
      <c r="J21" s="238">
        <v>4</v>
      </c>
    </row>
    <row r="22" spans="1:15" x14ac:dyDescent="0.35">
      <c r="A22" s="4"/>
      <c r="B22" s="4"/>
      <c r="C22" s="98"/>
      <c r="D22" s="240" t="s">
        <v>80</v>
      </c>
      <c r="E22" s="238" t="s">
        <v>3</v>
      </c>
      <c r="F22" s="238">
        <v>291</v>
      </c>
      <c r="G22" s="238">
        <v>37</v>
      </c>
      <c r="H22" s="238">
        <v>6</v>
      </c>
      <c r="I22" s="238">
        <v>11</v>
      </c>
      <c r="J22" s="238">
        <v>1</v>
      </c>
    </row>
    <row r="23" spans="1:15" x14ac:dyDescent="0.35">
      <c r="A23" s="4"/>
      <c r="B23" s="4"/>
      <c r="C23" s="98"/>
      <c r="D23" s="240" t="s">
        <v>80</v>
      </c>
      <c r="E23" s="238" t="s">
        <v>4</v>
      </c>
      <c r="F23" s="238">
        <v>194</v>
      </c>
      <c r="G23" s="238">
        <v>39</v>
      </c>
      <c r="H23" s="238">
        <v>1</v>
      </c>
      <c r="I23" s="238">
        <v>6</v>
      </c>
      <c r="J23" s="238">
        <v>0</v>
      </c>
    </row>
    <row r="24" spans="1:15" x14ac:dyDescent="0.35">
      <c r="A24" s="4"/>
      <c r="B24" s="4"/>
      <c r="C24" s="98"/>
      <c r="D24" s="240" t="s">
        <v>80</v>
      </c>
      <c r="E24" s="238" t="s">
        <v>11</v>
      </c>
      <c r="F24" s="238">
        <v>191</v>
      </c>
      <c r="G24" s="238">
        <v>26</v>
      </c>
      <c r="H24" s="238">
        <v>4</v>
      </c>
      <c r="I24" s="238">
        <v>2</v>
      </c>
      <c r="J24" s="239">
        <v>1</v>
      </c>
      <c r="K24" s="2">
        <f>SUM(F19:F24)</f>
        <v>950</v>
      </c>
      <c r="L24" s="2">
        <f t="shared" ref="L24:O24" si="1">SUM(G19:G24)</f>
        <v>135</v>
      </c>
      <c r="M24" s="2">
        <f t="shared" si="1"/>
        <v>13</v>
      </c>
      <c r="N24" s="2">
        <f t="shared" si="1"/>
        <v>35</v>
      </c>
      <c r="O24" s="2">
        <f t="shared" si="1"/>
        <v>6</v>
      </c>
    </row>
    <row r="25" spans="1:15" x14ac:dyDescent="0.35">
      <c r="A25" s="4" t="s">
        <v>527</v>
      </c>
      <c r="B25" s="4" t="s">
        <v>500</v>
      </c>
      <c r="C25" s="98">
        <v>10283</v>
      </c>
      <c r="D25" s="16" t="s">
        <v>80</v>
      </c>
      <c r="E25" s="17" t="s">
        <v>5</v>
      </c>
      <c r="F25" s="12">
        <v>136</v>
      </c>
      <c r="G25" s="12">
        <v>23</v>
      </c>
      <c r="H25" s="12">
        <v>6</v>
      </c>
      <c r="I25" s="12">
        <v>6</v>
      </c>
      <c r="J25" s="14">
        <v>1</v>
      </c>
    </row>
    <row r="26" spans="1:15" x14ac:dyDescent="0.35">
      <c r="A26" s="79"/>
      <c r="B26" s="79"/>
      <c r="C26" s="99"/>
      <c r="D26" s="16" t="s">
        <v>80</v>
      </c>
      <c r="E26" s="17" t="s">
        <v>6</v>
      </c>
      <c r="F26" s="12">
        <v>648</v>
      </c>
      <c r="G26" s="12">
        <v>105</v>
      </c>
      <c r="H26" s="12">
        <v>15</v>
      </c>
      <c r="I26" s="12">
        <v>21</v>
      </c>
      <c r="J26" s="12">
        <v>3</v>
      </c>
    </row>
    <row r="27" spans="1:15" x14ac:dyDescent="0.35">
      <c r="A27" s="79"/>
      <c r="B27" s="79"/>
      <c r="C27" s="99"/>
      <c r="D27" s="16" t="s">
        <v>80</v>
      </c>
      <c r="E27" s="17" t="s">
        <v>7</v>
      </c>
      <c r="F27" s="12">
        <v>1438</v>
      </c>
      <c r="G27" s="12">
        <v>345</v>
      </c>
      <c r="H27" s="12">
        <v>69</v>
      </c>
      <c r="I27" s="12">
        <v>78</v>
      </c>
      <c r="J27" s="12">
        <v>8</v>
      </c>
    </row>
    <row r="28" spans="1:15" x14ac:dyDescent="0.35">
      <c r="A28" s="79"/>
      <c r="B28" s="79"/>
      <c r="C28" s="99"/>
      <c r="D28" s="16" t="s">
        <v>80</v>
      </c>
      <c r="E28" s="17" t="s">
        <v>8</v>
      </c>
      <c r="F28" s="12">
        <v>571</v>
      </c>
      <c r="G28" s="12">
        <v>85</v>
      </c>
      <c r="H28" s="12">
        <v>15</v>
      </c>
      <c r="I28" s="12">
        <v>19</v>
      </c>
      <c r="J28" s="14">
        <v>3</v>
      </c>
    </row>
    <row r="29" spans="1:15" x14ac:dyDescent="0.35">
      <c r="A29" s="79"/>
      <c r="B29" s="79"/>
      <c r="C29" s="99"/>
      <c r="D29" s="16" t="s">
        <v>80</v>
      </c>
      <c r="E29" s="17" t="s">
        <v>9</v>
      </c>
      <c r="F29" s="12">
        <v>361</v>
      </c>
      <c r="G29" s="12">
        <v>84</v>
      </c>
      <c r="H29" s="12">
        <v>10</v>
      </c>
      <c r="I29" s="12">
        <v>15</v>
      </c>
      <c r="J29" s="14">
        <v>0</v>
      </c>
    </row>
    <row r="30" spans="1:15" x14ac:dyDescent="0.35">
      <c r="A30" s="79"/>
      <c r="B30" s="79"/>
      <c r="C30" s="99"/>
      <c r="D30" s="16" t="s">
        <v>80</v>
      </c>
      <c r="E30" s="17" t="s">
        <v>12</v>
      </c>
      <c r="F30" s="12">
        <v>187</v>
      </c>
      <c r="G30" s="12">
        <v>30</v>
      </c>
      <c r="H30" s="12">
        <v>3</v>
      </c>
      <c r="I30" s="12">
        <v>5</v>
      </c>
      <c r="J30" s="14">
        <v>2</v>
      </c>
    </row>
    <row r="31" spans="1:15" x14ac:dyDescent="0.35">
      <c r="A31" s="79"/>
      <c r="B31" s="79"/>
      <c r="C31" s="99"/>
      <c r="D31" s="16" t="s">
        <v>80</v>
      </c>
      <c r="E31" s="17" t="s">
        <v>13</v>
      </c>
      <c r="F31" s="12">
        <v>483</v>
      </c>
      <c r="G31" s="12">
        <v>92</v>
      </c>
      <c r="H31" s="12">
        <v>15</v>
      </c>
      <c r="I31" s="12">
        <v>29</v>
      </c>
      <c r="J31" s="12">
        <v>1</v>
      </c>
      <c r="K31" s="2">
        <f>SUM(F25:F31)</f>
        <v>3824</v>
      </c>
      <c r="L31" s="2">
        <f t="shared" ref="L31:O31" si="2">SUM(G25:G31)</f>
        <v>764</v>
      </c>
      <c r="M31" s="2">
        <f t="shared" si="2"/>
        <v>133</v>
      </c>
      <c r="N31" s="2">
        <f t="shared" si="2"/>
        <v>173</v>
      </c>
      <c r="O31" s="2">
        <f t="shared" si="2"/>
        <v>18</v>
      </c>
    </row>
    <row r="32" spans="1:15" x14ac:dyDescent="0.35">
      <c r="A32" s="9" t="s">
        <v>528</v>
      </c>
      <c r="B32" s="9" t="s">
        <v>529</v>
      </c>
      <c r="C32" s="96">
        <v>1602</v>
      </c>
      <c r="D32" s="16" t="s">
        <v>99</v>
      </c>
      <c r="E32" s="17" t="s">
        <v>17</v>
      </c>
      <c r="F32" s="13">
        <v>72</v>
      </c>
      <c r="G32" s="13">
        <v>20</v>
      </c>
      <c r="H32" s="15">
        <v>0</v>
      </c>
      <c r="I32" s="13">
        <v>5</v>
      </c>
      <c r="J32" s="15">
        <v>0</v>
      </c>
    </row>
    <row r="33" spans="1:15" x14ac:dyDescent="0.35">
      <c r="A33" s="73"/>
      <c r="B33" s="73"/>
      <c r="C33" s="97"/>
      <c r="D33" s="16" t="s">
        <v>99</v>
      </c>
      <c r="E33" s="17" t="s">
        <v>2</v>
      </c>
      <c r="F33" s="13">
        <v>87</v>
      </c>
      <c r="G33" s="13">
        <v>60</v>
      </c>
      <c r="H33" s="13">
        <v>10</v>
      </c>
      <c r="I33" s="13">
        <v>5</v>
      </c>
      <c r="J33" s="15">
        <v>0</v>
      </c>
    </row>
    <row r="34" spans="1:15" x14ac:dyDescent="0.35">
      <c r="A34" s="73"/>
      <c r="B34" s="73"/>
      <c r="C34" s="97"/>
      <c r="D34" s="16" t="s">
        <v>99</v>
      </c>
      <c r="E34" s="17" t="s">
        <v>3</v>
      </c>
      <c r="F34" s="13">
        <v>89</v>
      </c>
      <c r="G34" s="13">
        <v>45</v>
      </c>
      <c r="H34" s="13">
        <v>2</v>
      </c>
      <c r="I34" s="13">
        <v>9</v>
      </c>
      <c r="J34" s="15">
        <v>0</v>
      </c>
    </row>
    <row r="35" spans="1:15" x14ac:dyDescent="0.35">
      <c r="A35" s="73"/>
      <c r="B35" s="73"/>
      <c r="C35" s="97"/>
      <c r="D35" s="16" t="s">
        <v>99</v>
      </c>
      <c r="E35" s="17" t="s">
        <v>4</v>
      </c>
      <c r="F35" s="13">
        <v>70</v>
      </c>
      <c r="G35" s="13">
        <v>23</v>
      </c>
      <c r="H35" s="13">
        <v>2</v>
      </c>
      <c r="I35" s="13">
        <v>8</v>
      </c>
      <c r="J35" s="15">
        <v>1</v>
      </c>
    </row>
    <row r="36" spans="1:15" x14ac:dyDescent="0.35">
      <c r="A36" s="73"/>
      <c r="B36" s="73"/>
      <c r="C36" s="97"/>
      <c r="D36" s="16" t="s">
        <v>99</v>
      </c>
      <c r="E36" s="17" t="s">
        <v>5</v>
      </c>
      <c r="F36" s="13">
        <v>110</v>
      </c>
      <c r="G36" s="13">
        <v>35</v>
      </c>
      <c r="H36" s="13">
        <v>1</v>
      </c>
      <c r="I36" s="13">
        <v>7</v>
      </c>
      <c r="J36" s="15">
        <v>1</v>
      </c>
    </row>
    <row r="37" spans="1:15" x14ac:dyDescent="0.35">
      <c r="A37" s="73"/>
      <c r="B37" s="73"/>
      <c r="C37" s="97"/>
      <c r="D37" s="16" t="s">
        <v>99</v>
      </c>
      <c r="E37" s="17" t="s">
        <v>6</v>
      </c>
      <c r="F37" s="13">
        <v>41</v>
      </c>
      <c r="G37" s="13">
        <v>4</v>
      </c>
      <c r="H37" s="15">
        <v>0</v>
      </c>
      <c r="I37" s="13">
        <v>2</v>
      </c>
      <c r="J37" s="15">
        <v>0</v>
      </c>
    </row>
    <row r="38" spans="1:15" x14ac:dyDescent="0.35">
      <c r="A38" s="73"/>
      <c r="B38" s="73"/>
      <c r="C38" s="97"/>
      <c r="D38" s="16" t="s">
        <v>99</v>
      </c>
      <c r="E38" s="17" t="s">
        <v>7</v>
      </c>
      <c r="F38" s="13">
        <v>134</v>
      </c>
      <c r="G38" s="13">
        <v>16</v>
      </c>
      <c r="H38" s="13">
        <v>1</v>
      </c>
      <c r="I38" s="13">
        <v>2</v>
      </c>
      <c r="J38" s="15">
        <v>3</v>
      </c>
    </row>
    <row r="39" spans="1:15" x14ac:dyDescent="0.35">
      <c r="A39" s="73"/>
      <c r="B39" s="73"/>
      <c r="C39" s="97"/>
      <c r="D39" s="16" t="s">
        <v>99</v>
      </c>
      <c r="E39" s="17" t="s">
        <v>8</v>
      </c>
      <c r="F39" s="13">
        <v>79</v>
      </c>
      <c r="G39" s="13">
        <v>7</v>
      </c>
      <c r="H39" s="15">
        <v>0</v>
      </c>
      <c r="I39" s="13">
        <v>4</v>
      </c>
      <c r="J39" s="15">
        <v>0</v>
      </c>
    </row>
    <row r="40" spans="1:15" x14ac:dyDescent="0.35">
      <c r="A40" s="73"/>
      <c r="B40" s="73"/>
      <c r="C40" s="97"/>
      <c r="D40" s="16" t="s">
        <v>99</v>
      </c>
      <c r="E40" s="17" t="s">
        <v>9</v>
      </c>
      <c r="F40" s="13">
        <v>274</v>
      </c>
      <c r="G40" s="13">
        <v>54</v>
      </c>
      <c r="H40" s="13">
        <v>6</v>
      </c>
      <c r="I40" s="13">
        <v>9</v>
      </c>
      <c r="J40" s="15">
        <v>2</v>
      </c>
      <c r="K40" s="2">
        <f>SUM(F32:F40)</f>
        <v>956</v>
      </c>
      <c r="L40" s="2">
        <f t="shared" ref="L40:O40" si="3">SUM(G32:G40)</f>
        <v>264</v>
      </c>
      <c r="M40" s="2">
        <f t="shared" si="3"/>
        <v>22</v>
      </c>
      <c r="N40" s="2">
        <f t="shared" si="3"/>
        <v>51</v>
      </c>
      <c r="O40" s="2">
        <f t="shared" si="3"/>
        <v>7</v>
      </c>
    </row>
    <row r="41" spans="1:15" x14ac:dyDescent="0.35">
      <c r="A41" s="4" t="s">
        <v>308</v>
      </c>
      <c r="B41" s="4" t="s">
        <v>309</v>
      </c>
      <c r="C41" s="98">
        <v>2787</v>
      </c>
      <c r="D41" s="16" t="s">
        <v>100</v>
      </c>
      <c r="E41" s="17" t="s">
        <v>17</v>
      </c>
      <c r="F41" s="12">
        <v>66</v>
      </c>
      <c r="G41" s="12">
        <v>6</v>
      </c>
      <c r="H41" s="12">
        <v>4</v>
      </c>
      <c r="I41" s="12">
        <v>3</v>
      </c>
      <c r="J41" s="14">
        <v>0</v>
      </c>
    </row>
    <row r="42" spans="1:15" x14ac:dyDescent="0.35">
      <c r="A42" s="4" t="s">
        <v>310</v>
      </c>
      <c r="B42" s="4" t="s">
        <v>311</v>
      </c>
      <c r="C42" s="98">
        <v>1177</v>
      </c>
      <c r="D42" s="16" t="s">
        <v>100</v>
      </c>
      <c r="E42" s="17" t="s">
        <v>2</v>
      </c>
      <c r="F42" s="12">
        <v>511</v>
      </c>
      <c r="G42" s="12">
        <v>126</v>
      </c>
      <c r="H42" s="12">
        <v>10</v>
      </c>
      <c r="I42" s="12">
        <v>25</v>
      </c>
      <c r="J42" s="14">
        <v>6</v>
      </c>
    </row>
    <row r="43" spans="1:15" x14ac:dyDescent="0.35">
      <c r="A43" s="79"/>
      <c r="B43" s="79"/>
      <c r="C43" s="99"/>
      <c r="D43" s="16" t="s">
        <v>100</v>
      </c>
      <c r="E43" s="17" t="s">
        <v>3</v>
      </c>
      <c r="F43" s="12">
        <v>328</v>
      </c>
      <c r="G43" s="12">
        <v>89</v>
      </c>
      <c r="H43" s="12">
        <v>20</v>
      </c>
      <c r="I43" s="12">
        <v>15</v>
      </c>
      <c r="J43" s="12">
        <v>2</v>
      </c>
    </row>
    <row r="44" spans="1:15" x14ac:dyDescent="0.35">
      <c r="A44" s="79"/>
      <c r="B44" s="79"/>
      <c r="C44" s="99"/>
      <c r="D44" s="16" t="s">
        <v>100</v>
      </c>
      <c r="E44" s="17" t="s">
        <v>4</v>
      </c>
      <c r="F44" s="12">
        <v>59</v>
      </c>
      <c r="G44" s="12">
        <v>9</v>
      </c>
      <c r="H44" s="14">
        <v>0</v>
      </c>
      <c r="I44" s="14">
        <v>0</v>
      </c>
      <c r="J44" s="14">
        <v>0</v>
      </c>
    </row>
    <row r="45" spans="1:15" x14ac:dyDescent="0.35">
      <c r="A45" s="79"/>
      <c r="B45" s="79"/>
      <c r="C45" s="99"/>
      <c r="D45" s="16" t="s">
        <v>100</v>
      </c>
      <c r="E45" s="17" t="s">
        <v>5</v>
      </c>
      <c r="F45" s="12">
        <v>194</v>
      </c>
      <c r="G45" s="12">
        <v>32</v>
      </c>
      <c r="H45" s="12">
        <v>2</v>
      </c>
      <c r="I45" s="12">
        <v>3</v>
      </c>
      <c r="J45" s="14">
        <v>0</v>
      </c>
    </row>
    <row r="46" spans="1:15" x14ac:dyDescent="0.35">
      <c r="A46" s="79"/>
      <c r="B46" s="79"/>
      <c r="C46" s="99"/>
      <c r="D46" s="16" t="s">
        <v>100</v>
      </c>
      <c r="E46" s="17" t="s">
        <v>6</v>
      </c>
      <c r="F46" s="12">
        <v>69</v>
      </c>
      <c r="G46" s="12">
        <v>22</v>
      </c>
      <c r="H46" s="12">
        <v>3</v>
      </c>
      <c r="I46" s="12">
        <v>1</v>
      </c>
      <c r="J46" s="12">
        <v>1</v>
      </c>
    </row>
    <row r="47" spans="1:15" x14ac:dyDescent="0.35">
      <c r="A47" s="79"/>
      <c r="B47" s="79"/>
      <c r="C47" s="99"/>
      <c r="D47" s="16" t="s">
        <v>100</v>
      </c>
      <c r="E47" s="17" t="s">
        <v>7</v>
      </c>
      <c r="F47" s="12">
        <v>230</v>
      </c>
      <c r="G47" s="12">
        <v>94</v>
      </c>
      <c r="H47" s="12">
        <v>7</v>
      </c>
      <c r="I47" s="12">
        <v>10</v>
      </c>
      <c r="J47" s="12">
        <v>1</v>
      </c>
    </row>
    <row r="48" spans="1:15" x14ac:dyDescent="0.35">
      <c r="A48" s="79"/>
      <c r="B48" s="79"/>
      <c r="C48" s="99"/>
      <c r="D48" s="16" t="s">
        <v>100</v>
      </c>
      <c r="E48" s="17" t="s">
        <v>8</v>
      </c>
      <c r="F48" s="12">
        <v>193</v>
      </c>
      <c r="G48" s="12">
        <v>25</v>
      </c>
      <c r="H48" s="12">
        <v>15</v>
      </c>
      <c r="I48" s="12">
        <v>9</v>
      </c>
      <c r="J48" s="14">
        <v>1</v>
      </c>
    </row>
    <row r="49" spans="1:17" x14ac:dyDescent="0.35">
      <c r="A49" s="79"/>
      <c r="B49" s="79"/>
      <c r="C49" s="99"/>
      <c r="D49" s="16" t="s">
        <v>100</v>
      </c>
      <c r="E49" s="17" t="s">
        <v>9</v>
      </c>
      <c r="F49" s="12">
        <v>97</v>
      </c>
      <c r="G49" s="12">
        <v>32</v>
      </c>
      <c r="H49" s="12">
        <v>2</v>
      </c>
      <c r="I49" s="12">
        <v>6</v>
      </c>
      <c r="J49" s="14">
        <v>2</v>
      </c>
    </row>
    <row r="50" spans="1:17" x14ac:dyDescent="0.35">
      <c r="A50" s="79"/>
      <c r="B50" s="79"/>
      <c r="C50" s="99"/>
      <c r="D50" s="16" t="s">
        <v>100</v>
      </c>
      <c r="E50" s="17" t="s">
        <v>11</v>
      </c>
      <c r="F50" s="12">
        <v>92</v>
      </c>
      <c r="G50" s="12">
        <v>27</v>
      </c>
      <c r="H50" s="14">
        <v>0</v>
      </c>
      <c r="I50" s="12">
        <v>6</v>
      </c>
      <c r="J50" s="14">
        <v>1</v>
      </c>
    </row>
    <row r="51" spans="1:17" x14ac:dyDescent="0.35">
      <c r="A51" s="79"/>
      <c r="B51" s="79"/>
      <c r="C51" s="99"/>
      <c r="D51" s="16" t="s">
        <v>100</v>
      </c>
      <c r="E51" s="17" t="s">
        <v>12</v>
      </c>
      <c r="F51" s="12">
        <v>171</v>
      </c>
      <c r="G51" s="12">
        <v>53</v>
      </c>
      <c r="H51" s="12">
        <v>4</v>
      </c>
      <c r="I51" s="12">
        <v>10</v>
      </c>
      <c r="J51" s="14">
        <v>0</v>
      </c>
      <c r="K51" s="2">
        <f>SUM(F42:F51)</f>
        <v>1944</v>
      </c>
      <c r="L51" s="2">
        <f t="shared" ref="L51:O51" si="4">SUM(G42:G51)</f>
        <v>509</v>
      </c>
      <c r="M51" s="2">
        <f t="shared" si="4"/>
        <v>63</v>
      </c>
      <c r="N51" s="2">
        <f t="shared" si="4"/>
        <v>85</v>
      </c>
      <c r="O51" s="2">
        <f t="shared" si="4"/>
        <v>14</v>
      </c>
      <c r="P51" s="2">
        <f>SUM(K51:O51)</f>
        <v>2615</v>
      </c>
      <c r="Q51" s="168">
        <f>+P51+C42</f>
        <v>3792</v>
      </c>
    </row>
    <row r="52" spans="1:17" x14ac:dyDescent="0.35">
      <c r="A52" s="9" t="s">
        <v>530</v>
      </c>
      <c r="B52" s="9" t="s">
        <v>531</v>
      </c>
      <c r="C52" s="96">
        <v>7054</v>
      </c>
      <c r="D52" s="16" t="s">
        <v>101</v>
      </c>
      <c r="E52" s="17" t="s">
        <v>0</v>
      </c>
      <c r="F52" s="13">
        <v>1</v>
      </c>
      <c r="G52" s="15">
        <v>0</v>
      </c>
      <c r="H52" s="15">
        <v>0</v>
      </c>
      <c r="I52" s="15">
        <v>0</v>
      </c>
      <c r="J52" s="15">
        <v>0</v>
      </c>
    </row>
    <row r="53" spans="1:17" x14ac:dyDescent="0.35">
      <c r="A53" s="73"/>
      <c r="B53" s="73"/>
      <c r="C53" s="97"/>
      <c r="D53" s="16" t="s">
        <v>101</v>
      </c>
      <c r="E53" s="17" t="s">
        <v>17</v>
      </c>
      <c r="F53" s="13">
        <v>404</v>
      </c>
      <c r="G53" s="13">
        <v>133</v>
      </c>
      <c r="H53" s="13">
        <v>21</v>
      </c>
      <c r="I53" s="13">
        <v>26</v>
      </c>
      <c r="J53" s="13">
        <v>2</v>
      </c>
    </row>
    <row r="54" spans="1:17" x14ac:dyDescent="0.35">
      <c r="A54" s="73"/>
      <c r="B54" s="73"/>
      <c r="C54" s="97"/>
      <c r="D54" s="16" t="s">
        <v>101</v>
      </c>
      <c r="E54" s="17" t="s">
        <v>2</v>
      </c>
      <c r="F54" s="13">
        <v>282</v>
      </c>
      <c r="G54" s="13">
        <v>45</v>
      </c>
      <c r="H54" s="13">
        <v>1</v>
      </c>
      <c r="I54" s="13">
        <v>12</v>
      </c>
      <c r="J54" s="13">
        <v>4</v>
      </c>
    </row>
    <row r="55" spans="1:17" x14ac:dyDescent="0.35">
      <c r="A55" s="73"/>
      <c r="B55" s="73"/>
      <c r="C55" s="97"/>
      <c r="D55" s="16" t="s">
        <v>101</v>
      </c>
      <c r="E55" s="17" t="s">
        <v>3</v>
      </c>
      <c r="F55" s="13">
        <v>103</v>
      </c>
      <c r="G55" s="13">
        <v>21</v>
      </c>
      <c r="H55" s="13">
        <v>9</v>
      </c>
      <c r="I55" s="13">
        <v>7</v>
      </c>
      <c r="J55" s="15">
        <v>1</v>
      </c>
    </row>
    <row r="56" spans="1:17" x14ac:dyDescent="0.35">
      <c r="A56" s="73"/>
      <c r="B56" s="73"/>
      <c r="C56" s="97"/>
      <c r="D56" s="16" t="s">
        <v>101</v>
      </c>
      <c r="E56" s="17" t="s">
        <v>4</v>
      </c>
      <c r="F56" s="13">
        <v>56</v>
      </c>
      <c r="G56" s="13">
        <v>10</v>
      </c>
      <c r="H56" s="13">
        <v>2</v>
      </c>
      <c r="I56" s="13">
        <v>2</v>
      </c>
      <c r="J56" s="15">
        <v>1</v>
      </c>
    </row>
    <row r="57" spans="1:17" x14ac:dyDescent="0.35">
      <c r="A57" s="73"/>
      <c r="B57" s="73"/>
      <c r="C57" s="97"/>
      <c r="D57" s="16" t="s">
        <v>101</v>
      </c>
      <c r="E57" s="17" t="s">
        <v>5</v>
      </c>
      <c r="F57" s="13">
        <v>80</v>
      </c>
      <c r="G57" s="13">
        <v>5</v>
      </c>
      <c r="H57" s="15">
        <v>0</v>
      </c>
      <c r="I57" s="13">
        <v>1</v>
      </c>
      <c r="J57" s="15">
        <v>1</v>
      </c>
    </row>
    <row r="58" spans="1:17" x14ac:dyDescent="0.35">
      <c r="A58" s="73"/>
      <c r="B58" s="73"/>
      <c r="C58" s="97"/>
      <c r="D58" s="16" t="s">
        <v>101</v>
      </c>
      <c r="E58" s="17" t="s">
        <v>6</v>
      </c>
      <c r="F58" s="13">
        <v>277</v>
      </c>
      <c r="G58" s="13">
        <v>35</v>
      </c>
      <c r="H58" s="13">
        <v>9</v>
      </c>
      <c r="I58" s="13">
        <v>7</v>
      </c>
      <c r="J58" s="15">
        <v>1</v>
      </c>
    </row>
    <row r="59" spans="1:17" x14ac:dyDescent="0.35">
      <c r="A59" s="73"/>
      <c r="B59" s="73"/>
      <c r="C59" s="97"/>
      <c r="D59" s="16" t="s">
        <v>101</v>
      </c>
      <c r="E59" s="17" t="s">
        <v>7</v>
      </c>
      <c r="F59" s="13">
        <v>297</v>
      </c>
      <c r="G59" s="13">
        <v>48</v>
      </c>
      <c r="H59" s="13">
        <v>3</v>
      </c>
      <c r="I59" s="13">
        <v>11</v>
      </c>
      <c r="J59" s="15">
        <v>1</v>
      </c>
    </row>
    <row r="60" spans="1:17" x14ac:dyDescent="0.35">
      <c r="A60" s="73"/>
      <c r="B60" s="73"/>
      <c r="C60" s="97"/>
      <c r="D60" s="16" t="s">
        <v>101</v>
      </c>
      <c r="E60" s="17" t="s">
        <v>8</v>
      </c>
      <c r="F60" s="13">
        <v>168</v>
      </c>
      <c r="G60" s="13">
        <v>16</v>
      </c>
      <c r="H60" s="13">
        <v>5</v>
      </c>
      <c r="I60" s="13">
        <v>3</v>
      </c>
      <c r="J60" s="15">
        <v>1</v>
      </c>
    </row>
    <row r="61" spans="1:17" x14ac:dyDescent="0.35">
      <c r="A61" s="73"/>
      <c r="B61" s="73"/>
      <c r="C61" s="97"/>
      <c r="D61" s="16" t="s">
        <v>101</v>
      </c>
      <c r="E61" s="17" t="s">
        <v>9</v>
      </c>
      <c r="F61" s="13">
        <v>69</v>
      </c>
      <c r="G61" s="13">
        <v>34</v>
      </c>
      <c r="H61" s="13">
        <v>1</v>
      </c>
      <c r="I61" s="13">
        <v>3</v>
      </c>
      <c r="J61" s="15">
        <v>1</v>
      </c>
    </row>
    <row r="62" spans="1:17" x14ac:dyDescent="0.35">
      <c r="A62" s="73"/>
      <c r="B62" s="73"/>
      <c r="C62" s="97"/>
      <c r="D62" s="16" t="s">
        <v>101</v>
      </c>
      <c r="E62" s="17" t="s">
        <v>11</v>
      </c>
      <c r="F62" s="13">
        <v>85</v>
      </c>
      <c r="G62" s="13">
        <v>37</v>
      </c>
      <c r="H62" s="13">
        <v>1</v>
      </c>
      <c r="I62" s="13">
        <v>1</v>
      </c>
      <c r="J62" s="13">
        <v>0</v>
      </c>
    </row>
    <row r="63" spans="1:17" x14ac:dyDescent="0.35">
      <c r="A63" s="73"/>
      <c r="B63" s="73"/>
      <c r="C63" s="97"/>
      <c r="D63" s="16" t="s">
        <v>101</v>
      </c>
      <c r="E63" s="17" t="s">
        <v>12</v>
      </c>
      <c r="F63" s="13">
        <v>108</v>
      </c>
      <c r="G63" s="13">
        <v>21</v>
      </c>
      <c r="H63" s="13">
        <v>4</v>
      </c>
      <c r="I63" s="13">
        <v>2</v>
      </c>
      <c r="J63" s="15">
        <v>0</v>
      </c>
    </row>
    <row r="64" spans="1:17" x14ac:dyDescent="0.35">
      <c r="A64" s="73"/>
      <c r="B64" s="73"/>
      <c r="C64" s="97"/>
      <c r="D64" s="16" t="s">
        <v>101</v>
      </c>
      <c r="E64" s="17" t="s">
        <v>13</v>
      </c>
      <c r="F64" s="13">
        <v>118</v>
      </c>
      <c r="G64" s="13">
        <v>7</v>
      </c>
      <c r="H64" s="13">
        <v>1</v>
      </c>
      <c r="I64" s="15">
        <v>0</v>
      </c>
      <c r="J64" s="15">
        <v>0</v>
      </c>
    </row>
    <row r="65" spans="1:15" x14ac:dyDescent="0.35">
      <c r="A65" s="73"/>
      <c r="B65" s="73"/>
      <c r="C65" s="97"/>
      <c r="D65" s="16" t="s">
        <v>101</v>
      </c>
      <c r="E65" s="17" t="s">
        <v>21</v>
      </c>
      <c r="F65" s="13">
        <v>33</v>
      </c>
      <c r="G65" s="13">
        <v>9</v>
      </c>
      <c r="H65" s="13">
        <v>3</v>
      </c>
      <c r="I65" s="13">
        <v>2</v>
      </c>
      <c r="J65" s="15">
        <v>1</v>
      </c>
    </row>
    <row r="66" spans="1:15" x14ac:dyDescent="0.35">
      <c r="A66" s="73"/>
      <c r="B66" s="73"/>
      <c r="C66" s="97"/>
      <c r="D66" s="16" t="s">
        <v>101</v>
      </c>
      <c r="E66" s="17" t="s">
        <v>22</v>
      </c>
      <c r="F66" s="13">
        <v>62</v>
      </c>
      <c r="G66" s="13">
        <v>1</v>
      </c>
      <c r="H66" s="15">
        <v>0</v>
      </c>
      <c r="I66" s="13">
        <v>2</v>
      </c>
      <c r="J66" s="15">
        <v>0</v>
      </c>
    </row>
    <row r="67" spans="1:15" x14ac:dyDescent="0.35">
      <c r="A67" s="73"/>
      <c r="B67" s="73"/>
      <c r="C67" s="97"/>
      <c r="D67" s="16" t="s">
        <v>101</v>
      </c>
      <c r="E67" s="17" t="s">
        <v>42</v>
      </c>
      <c r="F67" s="13">
        <v>111</v>
      </c>
      <c r="G67" s="13">
        <v>6</v>
      </c>
      <c r="H67" s="15">
        <v>0</v>
      </c>
      <c r="I67" s="13">
        <v>2</v>
      </c>
      <c r="J67" s="15">
        <v>1</v>
      </c>
    </row>
    <row r="68" spans="1:15" x14ac:dyDescent="0.35">
      <c r="A68" s="73"/>
      <c r="B68" s="73"/>
      <c r="C68" s="97"/>
      <c r="D68" s="16" t="s">
        <v>101</v>
      </c>
      <c r="E68" s="17" t="s">
        <v>102</v>
      </c>
      <c r="F68" s="13">
        <v>585</v>
      </c>
      <c r="G68" s="13">
        <v>131</v>
      </c>
      <c r="H68" s="13">
        <v>27</v>
      </c>
      <c r="I68" s="13">
        <v>22</v>
      </c>
      <c r="J68" s="13">
        <v>3</v>
      </c>
    </row>
    <row r="69" spans="1:15" x14ac:dyDescent="0.35">
      <c r="A69" s="73"/>
      <c r="B69" s="73"/>
      <c r="C69" s="97"/>
      <c r="D69" s="16" t="s">
        <v>101</v>
      </c>
      <c r="E69" s="17" t="s">
        <v>103</v>
      </c>
      <c r="F69" s="13">
        <v>558</v>
      </c>
      <c r="G69" s="13">
        <v>42</v>
      </c>
      <c r="H69" s="13">
        <v>1</v>
      </c>
      <c r="I69" s="13">
        <v>20</v>
      </c>
      <c r="J69" s="15">
        <v>2</v>
      </c>
      <c r="K69" s="2">
        <f>SUM(F52:F69)</f>
        <v>3397</v>
      </c>
      <c r="L69" s="2">
        <f t="shared" ref="L69:O69" si="5">SUM(G52:G69)</f>
        <v>601</v>
      </c>
      <c r="M69" s="2">
        <f t="shared" si="5"/>
        <v>88</v>
      </c>
      <c r="N69" s="2">
        <f t="shared" si="5"/>
        <v>123</v>
      </c>
      <c r="O69" s="2">
        <f t="shared" si="5"/>
        <v>20</v>
      </c>
    </row>
    <row r="70" spans="1:15" x14ac:dyDescent="0.35">
      <c r="A70" s="4" t="s">
        <v>532</v>
      </c>
      <c r="B70" s="4" t="s">
        <v>533</v>
      </c>
      <c r="C70" s="98">
        <v>4095</v>
      </c>
      <c r="D70" s="16" t="s">
        <v>104</v>
      </c>
      <c r="E70" s="17" t="s">
        <v>0</v>
      </c>
      <c r="F70" s="12">
        <v>2</v>
      </c>
      <c r="G70" s="14">
        <v>0</v>
      </c>
      <c r="H70" s="14">
        <v>0</v>
      </c>
      <c r="I70" s="14">
        <v>0</v>
      </c>
      <c r="J70" s="14">
        <v>0</v>
      </c>
    </row>
    <row r="71" spans="1:15" x14ac:dyDescent="0.35">
      <c r="A71" s="79"/>
      <c r="B71" s="79"/>
      <c r="C71" s="99"/>
      <c r="D71" s="16" t="s">
        <v>104</v>
      </c>
      <c r="E71" s="17" t="s">
        <v>17</v>
      </c>
      <c r="F71" s="12">
        <v>208</v>
      </c>
      <c r="G71" s="12">
        <v>48</v>
      </c>
      <c r="H71" s="14">
        <v>0</v>
      </c>
      <c r="I71" s="12">
        <v>11</v>
      </c>
      <c r="J71" s="12">
        <v>2</v>
      </c>
    </row>
    <row r="72" spans="1:15" x14ac:dyDescent="0.35">
      <c r="A72" s="79"/>
      <c r="B72" s="79"/>
      <c r="C72" s="99"/>
      <c r="D72" s="16" t="s">
        <v>104</v>
      </c>
      <c r="E72" s="17" t="s">
        <v>2</v>
      </c>
      <c r="F72" s="12">
        <v>1080</v>
      </c>
      <c r="G72" s="12">
        <v>159</v>
      </c>
      <c r="H72" s="12">
        <v>17</v>
      </c>
      <c r="I72" s="12">
        <v>32</v>
      </c>
      <c r="J72" s="14">
        <v>4</v>
      </c>
    </row>
    <row r="73" spans="1:15" x14ac:dyDescent="0.35">
      <c r="A73" s="79"/>
      <c r="B73" s="79"/>
      <c r="C73" s="99"/>
      <c r="D73" s="16" t="s">
        <v>104</v>
      </c>
      <c r="E73" s="17" t="s">
        <v>3</v>
      </c>
      <c r="F73" s="12">
        <v>399</v>
      </c>
      <c r="G73" s="12">
        <v>54</v>
      </c>
      <c r="H73" s="12">
        <v>20</v>
      </c>
      <c r="I73" s="12">
        <v>14</v>
      </c>
      <c r="J73" s="14">
        <v>2</v>
      </c>
    </row>
    <row r="74" spans="1:15" x14ac:dyDescent="0.35">
      <c r="A74" s="79"/>
      <c r="B74" s="79"/>
      <c r="C74" s="99"/>
      <c r="D74" s="16" t="s">
        <v>104</v>
      </c>
      <c r="E74" s="17" t="s">
        <v>4</v>
      </c>
      <c r="F74" s="12">
        <v>333</v>
      </c>
      <c r="G74" s="12">
        <v>50</v>
      </c>
      <c r="H74" s="12">
        <v>4</v>
      </c>
      <c r="I74" s="12">
        <v>10</v>
      </c>
      <c r="J74" s="14">
        <v>0</v>
      </c>
    </row>
    <row r="75" spans="1:15" x14ac:dyDescent="0.35">
      <c r="A75" s="79"/>
      <c r="B75" s="79"/>
      <c r="C75" s="99"/>
      <c r="D75" s="16" t="s">
        <v>104</v>
      </c>
      <c r="E75" s="17" t="s">
        <v>5</v>
      </c>
      <c r="F75" s="12">
        <v>157</v>
      </c>
      <c r="G75" s="12">
        <v>33</v>
      </c>
      <c r="H75" s="12">
        <v>7</v>
      </c>
      <c r="I75" s="12">
        <v>4</v>
      </c>
      <c r="J75" s="14">
        <v>0</v>
      </c>
    </row>
    <row r="76" spans="1:15" x14ac:dyDescent="0.35">
      <c r="A76" s="79"/>
      <c r="B76" s="79"/>
      <c r="C76" s="99"/>
      <c r="D76" s="16" t="s">
        <v>104</v>
      </c>
      <c r="E76" s="17" t="s">
        <v>6</v>
      </c>
      <c r="F76" s="12">
        <v>63</v>
      </c>
      <c r="G76" s="12">
        <v>5</v>
      </c>
      <c r="H76" s="14">
        <v>0</v>
      </c>
      <c r="I76" s="12">
        <v>1</v>
      </c>
      <c r="J76" s="14">
        <v>0</v>
      </c>
    </row>
    <row r="77" spans="1:15" x14ac:dyDescent="0.35">
      <c r="A77" s="79"/>
      <c r="B77" s="79"/>
      <c r="C77" s="99"/>
      <c r="D77" s="16" t="s">
        <v>104</v>
      </c>
      <c r="E77" s="17" t="s">
        <v>7</v>
      </c>
      <c r="F77" s="12">
        <v>113</v>
      </c>
      <c r="G77" s="12">
        <v>16</v>
      </c>
      <c r="H77" s="14">
        <v>0</v>
      </c>
      <c r="I77" s="12">
        <v>2</v>
      </c>
      <c r="J77" s="14">
        <v>0</v>
      </c>
    </row>
    <row r="78" spans="1:15" x14ac:dyDescent="0.35">
      <c r="A78" s="79"/>
      <c r="B78" s="79"/>
      <c r="C78" s="99"/>
      <c r="D78" s="16" t="s">
        <v>104</v>
      </c>
      <c r="E78" s="17" t="s">
        <v>8</v>
      </c>
      <c r="F78" s="12">
        <v>370</v>
      </c>
      <c r="G78" s="12">
        <v>39</v>
      </c>
      <c r="H78" s="12">
        <v>3</v>
      </c>
      <c r="I78" s="12">
        <v>11</v>
      </c>
      <c r="J78" s="12">
        <v>1</v>
      </c>
    </row>
    <row r="79" spans="1:15" x14ac:dyDescent="0.35">
      <c r="A79" s="79"/>
      <c r="B79" s="79"/>
      <c r="C79" s="99"/>
      <c r="D79" s="16" t="s">
        <v>104</v>
      </c>
      <c r="E79" s="17" t="s">
        <v>15</v>
      </c>
      <c r="F79" s="12">
        <v>0</v>
      </c>
      <c r="G79" s="12">
        <v>1</v>
      </c>
      <c r="H79" s="12">
        <v>0</v>
      </c>
      <c r="I79" s="14">
        <v>0</v>
      </c>
      <c r="J79" s="14">
        <v>0</v>
      </c>
      <c r="K79" s="2">
        <f>SUM(F70:F79)</f>
        <v>2725</v>
      </c>
      <c r="L79" s="2">
        <f t="shared" ref="L79:O79" si="6">SUM(G70:G79)</f>
        <v>405</v>
      </c>
      <c r="M79" s="2">
        <f t="shared" si="6"/>
        <v>51</v>
      </c>
      <c r="N79" s="2">
        <f t="shared" si="6"/>
        <v>85</v>
      </c>
      <c r="O79" s="2">
        <f t="shared" si="6"/>
        <v>9</v>
      </c>
    </row>
    <row r="80" spans="1:15" x14ac:dyDescent="0.35">
      <c r="A80" s="9" t="s">
        <v>312</v>
      </c>
      <c r="B80" s="9" t="s">
        <v>313</v>
      </c>
      <c r="C80" s="96">
        <v>1354</v>
      </c>
      <c r="D80" s="16" t="s">
        <v>105</v>
      </c>
      <c r="E80" s="17" t="s">
        <v>17</v>
      </c>
      <c r="F80" s="13">
        <v>105</v>
      </c>
      <c r="G80" s="13">
        <v>27</v>
      </c>
      <c r="H80" s="13">
        <v>2</v>
      </c>
      <c r="I80" s="13">
        <v>4</v>
      </c>
      <c r="J80" s="15">
        <v>0</v>
      </c>
    </row>
    <row r="81" spans="1:15" x14ac:dyDescent="0.35">
      <c r="A81" s="73"/>
      <c r="B81" s="73"/>
      <c r="C81" s="97"/>
      <c r="D81" s="16" t="s">
        <v>105</v>
      </c>
      <c r="E81" s="17" t="s">
        <v>2</v>
      </c>
      <c r="F81" s="13">
        <v>103</v>
      </c>
      <c r="G81" s="13">
        <v>54</v>
      </c>
      <c r="H81" s="15">
        <v>0</v>
      </c>
      <c r="I81" s="13">
        <v>7</v>
      </c>
      <c r="J81" s="13">
        <v>0</v>
      </c>
    </row>
    <row r="82" spans="1:15" x14ac:dyDescent="0.35">
      <c r="A82" s="73"/>
      <c r="B82" s="73"/>
      <c r="C82" s="97"/>
      <c r="D82" s="16" t="s">
        <v>105</v>
      </c>
      <c r="E82" s="17" t="s">
        <v>3</v>
      </c>
      <c r="F82" s="13">
        <v>79</v>
      </c>
      <c r="G82" s="13">
        <v>24</v>
      </c>
      <c r="H82" s="13">
        <v>4</v>
      </c>
      <c r="I82" s="13">
        <v>3</v>
      </c>
      <c r="J82" s="13">
        <v>2</v>
      </c>
    </row>
    <row r="83" spans="1:15" x14ac:dyDescent="0.35">
      <c r="A83" s="73"/>
      <c r="B83" s="73"/>
      <c r="C83" s="97"/>
      <c r="D83" s="16" t="s">
        <v>105</v>
      </c>
      <c r="E83" s="17" t="s">
        <v>4</v>
      </c>
      <c r="F83" s="13">
        <v>66</v>
      </c>
      <c r="G83" s="13">
        <v>31</v>
      </c>
      <c r="H83" s="13">
        <v>2</v>
      </c>
      <c r="I83" s="13">
        <v>6</v>
      </c>
      <c r="J83" s="15">
        <v>0</v>
      </c>
    </row>
    <row r="84" spans="1:15" x14ac:dyDescent="0.35">
      <c r="A84" s="73"/>
      <c r="B84" s="73"/>
      <c r="C84" s="97"/>
      <c r="D84" s="16" t="s">
        <v>105</v>
      </c>
      <c r="E84" s="17" t="s">
        <v>5</v>
      </c>
      <c r="F84" s="13">
        <v>200</v>
      </c>
      <c r="G84" s="13">
        <v>23</v>
      </c>
      <c r="H84" s="13">
        <v>1</v>
      </c>
      <c r="I84" s="13">
        <v>7</v>
      </c>
      <c r="J84" s="13">
        <v>2</v>
      </c>
    </row>
    <row r="85" spans="1:15" x14ac:dyDescent="0.35">
      <c r="A85" s="73"/>
      <c r="B85" s="73"/>
      <c r="C85" s="97"/>
      <c r="D85" s="16" t="s">
        <v>105</v>
      </c>
      <c r="E85" s="17" t="s">
        <v>6</v>
      </c>
      <c r="F85" s="13">
        <v>147</v>
      </c>
      <c r="G85" s="13">
        <v>19</v>
      </c>
      <c r="H85" s="13">
        <v>1</v>
      </c>
      <c r="I85" s="13">
        <v>1</v>
      </c>
      <c r="J85" s="15">
        <v>0</v>
      </c>
    </row>
    <row r="86" spans="1:15" x14ac:dyDescent="0.35">
      <c r="A86" s="73"/>
      <c r="B86" s="73"/>
      <c r="C86" s="97"/>
      <c r="D86" s="16" t="s">
        <v>105</v>
      </c>
      <c r="E86" s="17" t="s">
        <v>7</v>
      </c>
      <c r="F86" s="13">
        <v>103</v>
      </c>
      <c r="G86" s="13">
        <v>14</v>
      </c>
      <c r="H86" s="13">
        <v>2</v>
      </c>
      <c r="I86" s="13">
        <v>1</v>
      </c>
      <c r="J86" s="15">
        <v>4</v>
      </c>
      <c r="K86" s="2">
        <f>SUM(F80:F86)</f>
        <v>803</v>
      </c>
      <c r="L86" s="2">
        <f t="shared" ref="L86:O86" si="7">SUM(G80:G86)</f>
        <v>192</v>
      </c>
      <c r="M86" s="2">
        <f t="shared" si="7"/>
        <v>12</v>
      </c>
      <c r="N86" s="2">
        <f t="shared" si="7"/>
        <v>29</v>
      </c>
      <c r="O86" s="2">
        <f t="shared" si="7"/>
        <v>8</v>
      </c>
    </row>
    <row r="87" spans="1:15" x14ac:dyDescent="0.35">
      <c r="A87" s="4" t="s">
        <v>534</v>
      </c>
      <c r="B87" s="4" t="s">
        <v>506</v>
      </c>
      <c r="C87" s="98">
        <v>1670</v>
      </c>
      <c r="D87" s="16" t="s">
        <v>83</v>
      </c>
      <c r="E87" s="17" t="s">
        <v>17</v>
      </c>
      <c r="F87" s="12">
        <v>83</v>
      </c>
      <c r="G87" s="12">
        <v>25</v>
      </c>
      <c r="H87" s="12">
        <v>1</v>
      </c>
      <c r="I87" s="14">
        <v>0</v>
      </c>
      <c r="J87" s="14">
        <v>1</v>
      </c>
    </row>
    <row r="88" spans="1:15" x14ac:dyDescent="0.35">
      <c r="A88" s="79"/>
      <c r="B88" s="79"/>
      <c r="C88" s="99"/>
      <c r="D88" s="16" t="s">
        <v>83</v>
      </c>
      <c r="E88" s="17" t="s">
        <v>2</v>
      </c>
      <c r="F88" s="12">
        <v>32</v>
      </c>
      <c r="G88" s="12">
        <v>9</v>
      </c>
      <c r="H88" s="12">
        <v>3</v>
      </c>
      <c r="I88" s="12">
        <v>2</v>
      </c>
      <c r="J88" s="14">
        <v>0</v>
      </c>
    </row>
    <row r="89" spans="1:15" x14ac:dyDescent="0.35">
      <c r="A89" s="79"/>
      <c r="B89" s="79"/>
      <c r="C89" s="99"/>
      <c r="D89" s="16" t="s">
        <v>83</v>
      </c>
      <c r="E89" s="17" t="s">
        <v>3</v>
      </c>
      <c r="F89" s="12">
        <v>117</v>
      </c>
      <c r="G89" s="12">
        <v>23</v>
      </c>
      <c r="H89" s="12">
        <v>3</v>
      </c>
      <c r="I89" s="12">
        <v>8</v>
      </c>
      <c r="J89" s="14">
        <v>1</v>
      </c>
    </row>
    <row r="90" spans="1:15" x14ac:dyDescent="0.35">
      <c r="A90" s="79"/>
      <c r="B90" s="79"/>
      <c r="C90" s="99"/>
      <c r="D90" s="16" t="s">
        <v>83</v>
      </c>
      <c r="E90" s="17" t="s">
        <v>4</v>
      </c>
      <c r="F90" s="12">
        <v>202</v>
      </c>
      <c r="G90" s="12">
        <v>47</v>
      </c>
      <c r="H90" s="12">
        <v>1</v>
      </c>
      <c r="I90" s="12">
        <v>7</v>
      </c>
      <c r="J90" s="14">
        <v>0</v>
      </c>
    </row>
    <row r="91" spans="1:15" x14ac:dyDescent="0.35">
      <c r="A91" s="79"/>
      <c r="B91" s="79"/>
      <c r="C91" s="99"/>
      <c r="D91" s="16" t="s">
        <v>83</v>
      </c>
      <c r="E91" s="17" t="s">
        <v>5</v>
      </c>
      <c r="F91" s="12">
        <v>131</v>
      </c>
      <c r="G91" s="12">
        <v>23</v>
      </c>
      <c r="H91" s="12">
        <v>1</v>
      </c>
      <c r="I91" s="12">
        <v>1</v>
      </c>
      <c r="J91" s="12">
        <v>2</v>
      </c>
    </row>
    <row r="92" spans="1:15" x14ac:dyDescent="0.35">
      <c r="A92" s="79"/>
      <c r="B92" s="79"/>
      <c r="C92" s="99"/>
      <c r="D92" s="16" t="s">
        <v>83</v>
      </c>
      <c r="E92" s="17" t="s">
        <v>6</v>
      </c>
      <c r="F92" s="12">
        <v>172</v>
      </c>
      <c r="G92" s="12">
        <v>49</v>
      </c>
      <c r="H92" s="12">
        <v>5</v>
      </c>
      <c r="I92" s="12">
        <v>13</v>
      </c>
      <c r="J92" s="14">
        <v>2</v>
      </c>
    </row>
    <row r="93" spans="1:15" x14ac:dyDescent="0.35">
      <c r="A93" s="79"/>
      <c r="B93" s="79"/>
      <c r="C93" s="99"/>
      <c r="D93" s="16" t="s">
        <v>83</v>
      </c>
      <c r="E93" s="17" t="s">
        <v>7</v>
      </c>
      <c r="F93" s="12">
        <v>45</v>
      </c>
      <c r="G93" s="12">
        <v>24</v>
      </c>
      <c r="H93" s="12">
        <v>2</v>
      </c>
      <c r="I93" s="12">
        <v>1</v>
      </c>
      <c r="J93" s="14">
        <v>0</v>
      </c>
    </row>
    <row r="94" spans="1:15" x14ac:dyDescent="0.35">
      <c r="A94" s="79"/>
      <c r="B94" s="79"/>
      <c r="C94" s="99"/>
      <c r="D94" s="16" t="s">
        <v>83</v>
      </c>
      <c r="E94" s="17" t="s">
        <v>8</v>
      </c>
      <c r="F94" s="12">
        <v>38</v>
      </c>
      <c r="G94" s="12">
        <v>14</v>
      </c>
      <c r="H94" s="14">
        <v>2</v>
      </c>
      <c r="I94" s="14">
        <v>0</v>
      </c>
      <c r="J94" s="14">
        <v>0</v>
      </c>
      <c r="K94" s="2">
        <f>SUM(F87:F94)</f>
        <v>820</v>
      </c>
      <c r="L94" s="2">
        <f t="shared" ref="L94:O94" si="8">SUM(G87:G94)</f>
        <v>214</v>
      </c>
      <c r="M94" s="2">
        <f t="shared" si="8"/>
        <v>18</v>
      </c>
      <c r="N94" s="2">
        <f t="shared" si="8"/>
        <v>32</v>
      </c>
      <c r="O94" s="2">
        <f t="shared" si="8"/>
        <v>6</v>
      </c>
    </row>
    <row r="95" spans="1:15" x14ac:dyDescent="0.35">
      <c r="A95" s="9" t="s">
        <v>314</v>
      </c>
      <c r="B95" s="9" t="s">
        <v>315</v>
      </c>
      <c r="C95" s="96">
        <v>1213</v>
      </c>
      <c r="D95" s="16" t="s">
        <v>106</v>
      </c>
      <c r="E95" s="17" t="s">
        <v>17</v>
      </c>
      <c r="F95" s="13">
        <v>49</v>
      </c>
      <c r="G95" s="13">
        <v>29</v>
      </c>
      <c r="H95" s="13">
        <v>5</v>
      </c>
      <c r="I95" s="13">
        <v>1</v>
      </c>
      <c r="J95" s="15">
        <v>0</v>
      </c>
    </row>
    <row r="96" spans="1:15" x14ac:dyDescent="0.35">
      <c r="A96" s="73"/>
      <c r="B96" s="73"/>
      <c r="C96" s="97"/>
      <c r="D96" s="16" t="s">
        <v>106</v>
      </c>
      <c r="E96" s="17" t="s">
        <v>2</v>
      </c>
      <c r="F96" s="13">
        <v>45</v>
      </c>
      <c r="G96" s="13">
        <v>19</v>
      </c>
      <c r="H96" s="15">
        <v>0</v>
      </c>
      <c r="I96" s="13">
        <v>2</v>
      </c>
      <c r="J96" s="15">
        <v>0</v>
      </c>
    </row>
    <row r="97" spans="1:15" x14ac:dyDescent="0.35">
      <c r="A97" s="73"/>
      <c r="B97" s="73"/>
      <c r="C97" s="97"/>
      <c r="D97" s="16" t="s">
        <v>106</v>
      </c>
      <c r="E97" s="17" t="s">
        <v>3</v>
      </c>
      <c r="F97" s="13">
        <v>81</v>
      </c>
      <c r="G97" s="13">
        <v>6</v>
      </c>
      <c r="H97" s="13">
        <v>1</v>
      </c>
      <c r="I97" s="13">
        <v>3</v>
      </c>
      <c r="J97" s="15">
        <v>1</v>
      </c>
    </row>
    <row r="98" spans="1:15" x14ac:dyDescent="0.35">
      <c r="A98" s="73"/>
      <c r="B98" s="73"/>
      <c r="C98" s="97"/>
      <c r="D98" s="16" t="s">
        <v>106</v>
      </c>
      <c r="E98" s="17" t="s">
        <v>4</v>
      </c>
      <c r="F98" s="13">
        <v>51</v>
      </c>
      <c r="G98" s="13">
        <v>15</v>
      </c>
      <c r="H98" s="15">
        <v>0</v>
      </c>
      <c r="I98" s="15">
        <v>0</v>
      </c>
      <c r="J98" s="15">
        <v>0</v>
      </c>
    </row>
    <row r="99" spans="1:15" x14ac:dyDescent="0.35">
      <c r="A99" s="73"/>
      <c r="B99" s="73"/>
      <c r="C99" s="97"/>
      <c r="D99" s="16" t="s">
        <v>106</v>
      </c>
      <c r="E99" s="17" t="s">
        <v>5</v>
      </c>
      <c r="F99" s="13">
        <v>58</v>
      </c>
      <c r="G99" s="13">
        <v>14</v>
      </c>
      <c r="H99" s="15">
        <v>0</v>
      </c>
      <c r="I99" s="13">
        <v>3</v>
      </c>
      <c r="J99" s="15">
        <v>0</v>
      </c>
    </row>
    <row r="100" spans="1:15" x14ac:dyDescent="0.35">
      <c r="A100" s="73"/>
      <c r="B100" s="73"/>
      <c r="C100" s="97"/>
      <c r="D100" s="16" t="s">
        <v>106</v>
      </c>
      <c r="E100" s="17" t="s">
        <v>6</v>
      </c>
      <c r="F100" s="13">
        <v>61</v>
      </c>
      <c r="G100" s="13">
        <v>19</v>
      </c>
      <c r="H100" s="13">
        <v>3</v>
      </c>
      <c r="I100" s="13">
        <v>3</v>
      </c>
      <c r="J100" s="15">
        <v>2</v>
      </c>
    </row>
    <row r="101" spans="1:15" x14ac:dyDescent="0.35">
      <c r="A101" s="73"/>
      <c r="B101" s="73"/>
      <c r="C101" s="97"/>
      <c r="D101" s="16" t="s">
        <v>106</v>
      </c>
      <c r="E101" s="17" t="s">
        <v>7</v>
      </c>
      <c r="F101" s="13">
        <v>55</v>
      </c>
      <c r="G101" s="13">
        <v>26</v>
      </c>
      <c r="H101" s="13">
        <v>9</v>
      </c>
      <c r="I101" s="13">
        <v>2</v>
      </c>
      <c r="J101" s="15">
        <v>2</v>
      </c>
    </row>
    <row r="102" spans="1:15" x14ac:dyDescent="0.35">
      <c r="A102" s="73"/>
      <c r="B102" s="73"/>
      <c r="C102" s="97"/>
      <c r="D102" s="16" t="s">
        <v>106</v>
      </c>
      <c r="E102" s="17" t="s">
        <v>8</v>
      </c>
      <c r="F102" s="13">
        <v>111</v>
      </c>
      <c r="G102" s="13">
        <v>23</v>
      </c>
      <c r="H102" s="13">
        <v>2</v>
      </c>
      <c r="I102" s="13">
        <v>3</v>
      </c>
      <c r="J102" s="15">
        <v>1</v>
      </c>
    </row>
    <row r="103" spans="1:15" x14ac:dyDescent="0.35">
      <c r="A103" s="73"/>
      <c r="B103" s="73"/>
      <c r="C103" s="97"/>
      <c r="D103" s="16" t="s">
        <v>106</v>
      </c>
      <c r="E103" s="17" t="s">
        <v>9</v>
      </c>
      <c r="F103" s="13">
        <v>82</v>
      </c>
      <c r="G103" s="13">
        <v>8</v>
      </c>
      <c r="H103" s="13">
        <v>1</v>
      </c>
      <c r="I103" s="13">
        <v>5</v>
      </c>
      <c r="J103" s="15">
        <v>1</v>
      </c>
      <c r="K103" s="2">
        <f>SUM(F95:F103)</f>
        <v>593</v>
      </c>
      <c r="L103" s="2">
        <f t="shared" ref="L103:O103" si="9">SUM(G95:G103)</f>
        <v>159</v>
      </c>
      <c r="M103" s="2">
        <f t="shared" si="9"/>
        <v>21</v>
      </c>
      <c r="N103" s="2">
        <f t="shared" si="9"/>
        <v>22</v>
      </c>
      <c r="O103" s="2">
        <f t="shared" si="9"/>
        <v>7</v>
      </c>
    </row>
    <row r="104" spans="1:15" x14ac:dyDescent="0.35">
      <c r="A104" s="4" t="s">
        <v>316</v>
      </c>
      <c r="B104" s="4" t="s">
        <v>317</v>
      </c>
      <c r="C104" s="98">
        <v>2200</v>
      </c>
      <c r="D104" s="16" t="s">
        <v>107</v>
      </c>
      <c r="E104" s="17" t="s">
        <v>17</v>
      </c>
      <c r="F104" s="12">
        <v>126</v>
      </c>
      <c r="G104" s="12">
        <v>14</v>
      </c>
      <c r="H104" s="12">
        <v>8</v>
      </c>
      <c r="I104" s="12">
        <v>5</v>
      </c>
      <c r="J104" s="14">
        <v>0</v>
      </c>
    </row>
    <row r="105" spans="1:15" x14ac:dyDescent="0.35">
      <c r="A105" s="1" t="s">
        <v>347</v>
      </c>
      <c r="B105" s="1" t="s">
        <v>348</v>
      </c>
      <c r="C105" s="95">
        <v>1977</v>
      </c>
      <c r="D105" s="16" t="s">
        <v>107</v>
      </c>
      <c r="E105" s="17" t="s">
        <v>2</v>
      </c>
      <c r="F105" s="12">
        <v>770</v>
      </c>
      <c r="G105" s="12">
        <v>204</v>
      </c>
      <c r="H105" s="12">
        <v>34</v>
      </c>
      <c r="I105" s="12">
        <v>36</v>
      </c>
      <c r="J105" s="12">
        <v>5</v>
      </c>
    </row>
    <row r="106" spans="1:15" x14ac:dyDescent="0.35">
      <c r="A106" s="79"/>
      <c r="B106" s="79"/>
      <c r="C106" s="99"/>
      <c r="D106" s="16" t="s">
        <v>107</v>
      </c>
      <c r="E106" s="17" t="s">
        <v>3</v>
      </c>
      <c r="F106" s="12">
        <v>189</v>
      </c>
      <c r="G106" s="12">
        <v>24</v>
      </c>
      <c r="H106" s="12">
        <v>2</v>
      </c>
      <c r="I106" s="12">
        <v>6</v>
      </c>
      <c r="J106" s="12">
        <v>0</v>
      </c>
    </row>
    <row r="107" spans="1:15" x14ac:dyDescent="0.35">
      <c r="A107" s="79"/>
      <c r="B107" s="79"/>
      <c r="C107" s="99"/>
      <c r="D107" s="16" t="s">
        <v>107</v>
      </c>
      <c r="E107" s="17" t="s">
        <v>4</v>
      </c>
      <c r="F107" s="12">
        <v>48</v>
      </c>
      <c r="G107" s="12">
        <v>10</v>
      </c>
      <c r="H107" s="14">
        <v>0</v>
      </c>
      <c r="I107" s="12">
        <v>3</v>
      </c>
      <c r="J107" s="14">
        <v>0</v>
      </c>
    </row>
    <row r="108" spans="1:15" x14ac:dyDescent="0.35">
      <c r="A108" s="79"/>
      <c r="B108" s="79"/>
      <c r="C108" s="99"/>
      <c r="D108" s="16" t="s">
        <v>107</v>
      </c>
      <c r="E108" s="17" t="s">
        <v>5</v>
      </c>
      <c r="F108" s="12">
        <v>68</v>
      </c>
      <c r="G108" s="12">
        <v>15</v>
      </c>
      <c r="H108" s="14">
        <v>0</v>
      </c>
      <c r="I108" s="12">
        <v>1</v>
      </c>
      <c r="J108" s="14">
        <v>0</v>
      </c>
    </row>
    <row r="109" spans="1:15" x14ac:dyDescent="0.35">
      <c r="A109" s="79"/>
      <c r="B109" s="79"/>
      <c r="C109" s="99"/>
      <c r="D109" s="16" t="s">
        <v>107</v>
      </c>
      <c r="E109" s="17" t="s">
        <v>6</v>
      </c>
      <c r="F109" s="12">
        <v>192</v>
      </c>
      <c r="G109" s="12">
        <v>35</v>
      </c>
      <c r="H109" s="12">
        <v>4</v>
      </c>
      <c r="I109" s="12">
        <v>8</v>
      </c>
      <c r="J109" s="12">
        <v>2</v>
      </c>
    </row>
    <row r="110" spans="1:15" x14ac:dyDescent="0.35">
      <c r="A110" s="79"/>
      <c r="B110" s="79"/>
      <c r="C110" s="99"/>
      <c r="D110" s="16" t="s">
        <v>107</v>
      </c>
      <c r="E110" s="17" t="s">
        <v>7</v>
      </c>
      <c r="F110" s="12">
        <v>63</v>
      </c>
      <c r="G110" s="12">
        <v>5</v>
      </c>
      <c r="H110" s="14">
        <v>1</v>
      </c>
      <c r="I110" s="14">
        <v>1</v>
      </c>
      <c r="J110" s="14">
        <v>1</v>
      </c>
    </row>
    <row r="111" spans="1:15" x14ac:dyDescent="0.35">
      <c r="A111" s="79"/>
      <c r="B111" s="79"/>
      <c r="C111" s="99"/>
      <c r="D111" s="16" t="s">
        <v>107</v>
      </c>
      <c r="E111" s="17" t="s">
        <v>8</v>
      </c>
      <c r="F111" s="12">
        <v>57</v>
      </c>
      <c r="G111" s="12">
        <v>5</v>
      </c>
      <c r="H111" s="14">
        <v>0</v>
      </c>
      <c r="I111" s="14">
        <v>0</v>
      </c>
      <c r="J111" s="14">
        <v>0</v>
      </c>
      <c r="K111" s="2">
        <f>SUM(F105:F111)</f>
        <v>1387</v>
      </c>
      <c r="L111" s="2">
        <f t="shared" ref="L111:O111" si="10">SUM(G105:G111)</f>
        <v>298</v>
      </c>
      <c r="M111" s="2">
        <f t="shared" si="10"/>
        <v>41</v>
      </c>
      <c r="N111" s="2">
        <f t="shared" si="10"/>
        <v>55</v>
      </c>
      <c r="O111" s="2">
        <f t="shared" si="10"/>
        <v>8</v>
      </c>
    </row>
    <row r="112" spans="1:15" x14ac:dyDescent="0.35">
      <c r="A112" s="9" t="s">
        <v>535</v>
      </c>
      <c r="B112" s="9" t="s">
        <v>536</v>
      </c>
      <c r="C112" s="96">
        <v>1181</v>
      </c>
      <c r="D112" s="16" t="s">
        <v>108</v>
      </c>
      <c r="E112" s="17" t="s">
        <v>17</v>
      </c>
      <c r="F112" s="13">
        <v>70</v>
      </c>
      <c r="G112" s="13">
        <v>14</v>
      </c>
      <c r="H112" s="13">
        <v>3</v>
      </c>
      <c r="I112" s="13">
        <v>0</v>
      </c>
      <c r="J112" s="15">
        <v>0</v>
      </c>
    </row>
    <row r="113" spans="1:15" x14ac:dyDescent="0.35">
      <c r="A113" s="73"/>
      <c r="B113" s="73"/>
      <c r="C113" s="97"/>
      <c r="D113" s="16" t="s">
        <v>108</v>
      </c>
      <c r="E113" s="17" t="s">
        <v>2</v>
      </c>
      <c r="F113" s="13">
        <v>50</v>
      </c>
      <c r="G113" s="13">
        <v>11</v>
      </c>
      <c r="H113" s="15">
        <v>0</v>
      </c>
      <c r="I113" s="13">
        <v>2</v>
      </c>
      <c r="J113" s="15">
        <v>0</v>
      </c>
    </row>
    <row r="114" spans="1:15" x14ac:dyDescent="0.35">
      <c r="A114" s="73"/>
      <c r="B114" s="73"/>
      <c r="C114" s="97"/>
      <c r="D114" s="16" t="s">
        <v>108</v>
      </c>
      <c r="E114" s="17" t="s">
        <v>3</v>
      </c>
      <c r="F114" s="13">
        <v>111</v>
      </c>
      <c r="G114" s="13">
        <v>14</v>
      </c>
      <c r="H114" s="13">
        <v>2</v>
      </c>
      <c r="I114" s="13">
        <v>5</v>
      </c>
      <c r="J114" s="15">
        <v>1</v>
      </c>
    </row>
    <row r="115" spans="1:15" x14ac:dyDescent="0.35">
      <c r="A115" s="73"/>
      <c r="B115" s="73"/>
      <c r="C115" s="97"/>
      <c r="D115" s="16" t="s">
        <v>108</v>
      </c>
      <c r="E115" s="17" t="s">
        <v>4</v>
      </c>
      <c r="F115" s="13">
        <v>130</v>
      </c>
      <c r="G115" s="13">
        <v>7</v>
      </c>
      <c r="H115" s="13">
        <v>4</v>
      </c>
      <c r="I115" s="13">
        <v>8</v>
      </c>
      <c r="J115" s="15">
        <v>0</v>
      </c>
    </row>
    <row r="116" spans="1:15" x14ac:dyDescent="0.35">
      <c r="A116" s="73"/>
      <c r="B116" s="73"/>
      <c r="C116" s="97"/>
      <c r="D116" s="16" t="s">
        <v>108</v>
      </c>
      <c r="E116" s="17" t="s">
        <v>5</v>
      </c>
      <c r="F116" s="13">
        <v>139</v>
      </c>
      <c r="G116" s="13">
        <v>25</v>
      </c>
      <c r="H116" s="13">
        <v>3</v>
      </c>
      <c r="I116" s="13">
        <v>5</v>
      </c>
      <c r="J116" s="15">
        <v>0</v>
      </c>
    </row>
    <row r="117" spans="1:15" x14ac:dyDescent="0.35">
      <c r="A117" s="73"/>
      <c r="B117" s="73"/>
      <c r="C117" s="97"/>
      <c r="D117" s="16" t="s">
        <v>108</v>
      </c>
      <c r="E117" s="17" t="s">
        <v>6</v>
      </c>
      <c r="F117" s="13">
        <v>142</v>
      </c>
      <c r="G117" s="13">
        <v>26</v>
      </c>
      <c r="H117" s="13">
        <v>2</v>
      </c>
      <c r="I117" s="13">
        <v>5</v>
      </c>
      <c r="J117" s="15">
        <v>0</v>
      </c>
    </row>
    <row r="118" spans="1:15" x14ac:dyDescent="0.35">
      <c r="A118" s="73"/>
      <c r="B118" s="73"/>
      <c r="C118" s="97"/>
      <c r="D118" s="16" t="s">
        <v>108</v>
      </c>
      <c r="E118" s="17" t="s">
        <v>7</v>
      </c>
      <c r="F118" s="13">
        <v>75</v>
      </c>
      <c r="G118" s="13">
        <v>9</v>
      </c>
      <c r="H118" s="15">
        <v>0</v>
      </c>
      <c r="I118" s="15">
        <v>0</v>
      </c>
      <c r="J118" s="15">
        <v>0</v>
      </c>
      <c r="K118" s="2">
        <f>SUM(F112:F118)</f>
        <v>717</v>
      </c>
      <c r="L118" s="2">
        <f t="shared" ref="L118:O118" si="11">SUM(G112:G118)</f>
        <v>106</v>
      </c>
      <c r="M118" s="2">
        <f t="shared" si="11"/>
        <v>14</v>
      </c>
      <c r="N118" s="2">
        <f t="shared" si="11"/>
        <v>25</v>
      </c>
      <c r="O118" s="2">
        <f t="shared" si="11"/>
        <v>1</v>
      </c>
    </row>
    <row r="119" spans="1:15" x14ac:dyDescent="0.35">
      <c r="A119" s="4" t="s">
        <v>537</v>
      </c>
      <c r="B119" s="4" t="s">
        <v>538</v>
      </c>
      <c r="C119" s="98">
        <v>1487</v>
      </c>
      <c r="D119" s="16" t="s">
        <v>109</v>
      </c>
      <c r="E119" s="17" t="s">
        <v>17</v>
      </c>
      <c r="F119" s="12">
        <v>107</v>
      </c>
      <c r="G119" s="12">
        <v>18</v>
      </c>
      <c r="H119" s="14">
        <v>0</v>
      </c>
      <c r="I119" s="12">
        <v>2</v>
      </c>
      <c r="J119" s="14">
        <v>1</v>
      </c>
    </row>
    <row r="120" spans="1:15" x14ac:dyDescent="0.35">
      <c r="A120" s="79"/>
      <c r="B120" s="79"/>
      <c r="C120" s="99"/>
      <c r="D120" s="16" t="s">
        <v>109</v>
      </c>
      <c r="E120" s="17" t="s">
        <v>2</v>
      </c>
      <c r="F120" s="12">
        <v>59</v>
      </c>
      <c r="G120" s="12">
        <v>2</v>
      </c>
      <c r="H120" s="12">
        <v>5</v>
      </c>
      <c r="I120" s="12">
        <v>1</v>
      </c>
      <c r="J120" s="14">
        <v>0</v>
      </c>
    </row>
    <row r="121" spans="1:15" x14ac:dyDescent="0.35">
      <c r="A121" s="79"/>
      <c r="B121" s="79"/>
      <c r="C121" s="99"/>
      <c r="D121" s="16" t="s">
        <v>109</v>
      </c>
      <c r="E121" s="17" t="s">
        <v>3</v>
      </c>
      <c r="F121" s="12">
        <v>60</v>
      </c>
      <c r="G121" s="12">
        <v>3</v>
      </c>
      <c r="H121" s="12">
        <v>4</v>
      </c>
      <c r="I121" s="14">
        <v>0</v>
      </c>
      <c r="J121" s="14">
        <v>0</v>
      </c>
    </row>
    <row r="122" spans="1:15" x14ac:dyDescent="0.35">
      <c r="A122" s="79"/>
      <c r="B122" s="79"/>
      <c r="C122" s="99"/>
      <c r="D122" s="16" t="s">
        <v>109</v>
      </c>
      <c r="E122" s="17" t="s">
        <v>4</v>
      </c>
      <c r="F122" s="12">
        <v>57</v>
      </c>
      <c r="G122" s="12">
        <v>2</v>
      </c>
      <c r="H122" s="12">
        <v>4</v>
      </c>
      <c r="I122" s="12">
        <v>2</v>
      </c>
      <c r="J122" s="14">
        <v>0</v>
      </c>
    </row>
    <row r="123" spans="1:15" x14ac:dyDescent="0.35">
      <c r="A123" s="79"/>
      <c r="B123" s="79"/>
      <c r="C123" s="99"/>
      <c r="D123" s="16" t="s">
        <v>109</v>
      </c>
      <c r="E123" s="17" t="s">
        <v>5</v>
      </c>
      <c r="F123" s="12">
        <v>337</v>
      </c>
      <c r="G123" s="12">
        <v>23</v>
      </c>
      <c r="H123" s="12">
        <v>7</v>
      </c>
      <c r="I123" s="12">
        <v>5</v>
      </c>
      <c r="J123" s="14">
        <v>3</v>
      </c>
      <c r="K123" s="2">
        <f>SUM(F119:F123)</f>
        <v>620</v>
      </c>
      <c r="L123" s="2">
        <f t="shared" ref="L123:O123" si="12">SUM(G119:G123)</f>
        <v>48</v>
      </c>
      <c r="M123" s="2">
        <f t="shared" si="12"/>
        <v>20</v>
      </c>
      <c r="N123" s="2">
        <f t="shared" si="12"/>
        <v>10</v>
      </c>
      <c r="O123" s="2">
        <f t="shared" si="12"/>
        <v>4</v>
      </c>
    </row>
    <row r="124" spans="1:15" x14ac:dyDescent="0.35">
      <c r="A124" s="9" t="s">
        <v>539</v>
      </c>
      <c r="B124" s="9" t="s">
        <v>295</v>
      </c>
      <c r="C124" s="96">
        <v>808</v>
      </c>
      <c r="D124" s="16" t="s">
        <v>63</v>
      </c>
      <c r="E124" s="17" t="s">
        <v>17</v>
      </c>
      <c r="F124" s="13">
        <v>143</v>
      </c>
      <c r="G124" s="13">
        <v>41</v>
      </c>
      <c r="H124" s="13">
        <v>1</v>
      </c>
      <c r="I124" s="13">
        <v>6</v>
      </c>
      <c r="J124" s="15">
        <v>1</v>
      </c>
    </row>
    <row r="125" spans="1:15" x14ac:dyDescent="0.35">
      <c r="A125" s="9" t="s">
        <v>540</v>
      </c>
      <c r="B125" s="9" t="s">
        <v>295</v>
      </c>
      <c r="C125" s="96">
        <v>457</v>
      </c>
      <c r="D125" s="16" t="s">
        <v>63</v>
      </c>
      <c r="E125" s="17" t="s">
        <v>2</v>
      </c>
      <c r="F125" s="13">
        <v>101</v>
      </c>
      <c r="G125" s="13">
        <v>32</v>
      </c>
      <c r="H125" s="13">
        <v>4</v>
      </c>
      <c r="I125" s="13">
        <v>10</v>
      </c>
      <c r="J125" s="13">
        <v>0</v>
      </c>
    </row>
    <row r="126" spans="1:15" x14ac:dyDescent="0.35">
      <c r="A126" s="73"/>
      <c r="B126" s="73"/>
      <c r="C126" s="97"/>
      <c r="D126" s="16" t="s">
        <v>63</v>
      </c>
      <c r="E126" s="17" t="s">
        <v>3</v>
      </c>
      <c r="F126" s="13">
        <v>261</v>
      </c>
      <c r="G126" s="13">
        <v>60</v>
      </c>
      <c r="H126" s="13">
        <v>3</v>
      </c>
      <c r="I126" s="13">
        <v>7</v>
      </c>
      <c r="J126" s="15">
        <v>0</v>
      </c>
    </row>
    <row r="127" spans="1:15" x14ac:dyDescent="0.35">
      <c r="A127" s="73"/>
      <c r="B127" s="73"/>
      <c r="C127" s="97"/>
      <c r="D127" s="16" t="s">
        <v>63</v>
      </c>
      <c r="E127" s="17" t="s">
        <v>4</v>
      </c>
      <c r="F127" s="13">
        <v>143</v>
      </c>
      <c r="G127" s="13">
        <v>9</v>
      </c>
      <c r="H127" s="13">
        <v>2</v>
      </c>
      <c r="I127" s="13">
        <v>2</v>
      </c>
      <c r="J127" s="15">
        <v>4</v>
      </c>
      <c r="K127" s="2">
        <f>SUM(F125:F127)</f>
        <v>505</v>
      </c>
      <c r="L127" s="2">
        <f t="shared" ref="L127:O127" si="13">SUM(G125:G127)</f>
        <v>101</v>
      </c>
      <c r="M127" s="2">
        <f t="shared" si="13"/>
        <v>9</v>
      </c>
      <c r="N127" s="2">
        <f t="shared" si="13"/>
        <v>19</v>
      </c>
      <c r="O127" s="2">
        <f t="shared" si="13"/>
        <v>4</v>
      </c>
    </row>
    <row r="128" spans="1:15" x14ac:dyDescent="0.35">
      <c r="A128" s="4" t="s">
        <v>318</v>
      </c>
      <c r="B128" s="4" t="s">
        <v>319</v>
      </c>
      <c r="C128" s="98">
        <v>1541</v>
      </c>
      <c r="D128" s="16" t="s">
        <v>110</v>
      </c>
      <c r="E128" s="17" t="s">
        <v>17</v>
      </c>
      <c r="F128" s="12">
        <v>105</v>
      </c>
      <c r="G128" s="12">
        <v>40</v>
      </c>
      <c r="H128" s="12">
        <v>2</v>
      </c>
      <c r="I128" s="12">
        <v>6</v>
      </c>
      <c r="J128" s="14">
        <v>0</v>
      </c>
    </row>
    <row r="129" spans="1:17" x14ac:dyDescent="0.35">
      <c r="A129" s="79"/>
      <c r="B129" s="79"/>
      <c r="C129" s="99"/>
      <c r="D129" s="16" t="s">
        <v>110</v>
      </c>
      <c r="E129" s="17" t="s">
        <v>2</v>
      </c>
      <c r="F129" s="12">
        <v>109</v>
      </c>
      <c r="G129" s="12">
        <v>23</v>
      </c>
      <c r="H129" s="12">
        <v>1</v>
      </c>
      <c r="I129" s="12">
        <v>7</v>
      </c>
      <c r="J129" s="14">
        <v>0</v>
      </c>
    </row>
    <row r="130" spans="1:17" x14ac:dyDescent="0.35">
      <c r="A130" s="79"/>
      <c r="B130" s="79"/>
      <c r="C130" s="99"/>
      <c r="D130" s="16" t="s">
        <v>110</v>
      </c>
      <c r="E130" s="17" t="s">
        <v>3</v>
      </c>
      <c r="F130" s="12">
        <v>96</v>
      </c>
      <c r="G130" s="12">
        <v>6</v>
      </c>
      <c r="H130" s="12">
        <v>3</v>
      </c>
      <c r="I130" s="12">
        <v>2</v>
      </c>
      <c r="J130" s="14">
        <v>0</v>
      </c>
    </row>
    <row r="131" spans="1:17" x14ac:dyDescent="0.35">
      <c r="A131" s="79"/>
      <c r="B131" s="79"/>
      <c r="C131" s="99"/>
      <c r="D131" s="16" t="s">
        <v>110</v>
      </c>
      <c r="E131" s="17" t="s">
        <v>4</v>
      </c>
      <c r="F131" s="12">
        <v>227</v>
      </c>
      <c r="G131" s="12">
        <v>41</v>
      </c>
      <c r="H131" s="12">
        <v>7</v>
      </c>
      <c r="I131" s="12">
        <v>10</v>
      </c>
      <c r="J131" s="14">
        <v>1</v>
      </c>
    </row>
    <row r="132" spans="1:17" x14ac:dyDescent="0.35">
      <c r="A132" s="79"/>
      <c r="B132" s="79"/>
      <c r="C132" s="99"/>
      <c r="D132" s="16" t="s">
        <v>110</v>
      </c>
      <c r="E132" s="17" t="s">
        <v>5</v>
      </c>
      <c r="F132" s="12">
        <v>158</v>
      </c>
      <c r="G132" s="12">
        <v>16</v>
      </c>
      <c r="H132" s="12">
        <v>4</v>
      </c>
      <c r="I132" s="12">
        <v>7</v>
      </c>
      <c r="J132" s="14">
        <v>0</v>
      </c>
      <c r="K132" s="2">
        <f>SUM(F128:F132)</f>
        <v>695</v>
      </c>
      <c r="L132" s="2">
        <f t="shared" ref="L132:O132" si="14">SUM(G128:G132)</f>
        <v>126</v>
      </c>
      <c r="M132" s="2">
        <f t="shared" si="14"/>
        <v>17</v>
      </c>
      <c r="N132" s="2">
        <f t="shared" si="14"/>
        <v>32</v>
      </c>
      <c r="O132" s="2">
        <f t="shared" si="14"/>
        <v>1</v>
      </c>
      <c r="P132" s="2">
        <f>SUM(K132:O132)</f>
        <v>871</v>
      </c>
      <c r="Q132" s="168">
        <f>+P132+C128</f>
        <v>2412</v>
      </c>
    </row>
    <row r="133" spans="1:17" x14ac:dyDescent="0.35">
      <c r="A133" s="9" t="s">
        <v>541</v>
      </c>
      <c r="B133" s="9" t="s">
        <v>542</v>
      </c>
      <c r="C133" s="96">
        <v>818</v>
      </c>
      <c r="D133" s="16" t="s">
        <v>111</v>
      </c>
      <c r="E133" s="17" t="s">
        <v>17</v>
      </c>
      <c r="F133" s="13">
        <v>38</v>
      </c>
      <c r="G133" s="13">
        <v>11</v>
      </c>
      <c r="H133" s="15">
        <v>0</v>
      </c>
      <c r="I133" s="13">
        <v>1</v>
      </c>
      <c r="J133" s="15">
        <v>0</v>
      </c>
    </row>
    <row r="134" spans="1:17" x14ac:dyDescent="0.35">
      <c r="A134" s="73"/>
      <c r="B134" s="73"/>
      <c r="C134" s="97"/>
      <c r="D134" s="16" t="s">
        <v>111</v>
      </c>
      <c r="E134" s="17" t="s">
        <v>2</v>
      </c>
      <c r="F134" s="13">
        <v>62</v>
      </c>
      <c r="G134" s="13">
        <v>26</v>
      </c>
      <c r="H134" s="13">
        <v>2</v>
      </c>
      <c r="I134" s="13">
        <v>1</v>
      </c>
      <c r="J134" s="15">
        <v>4</v>
      </c>
    </row>
    <row r="135" spans="1:17" x14ac:dyDescent="0.35">
      <c r="A135" s="73"/>
      <c r="B135" s="73"/>
      <c r="C135" s="97"/>
      <c r="D135" s="16" t="s">
        <v>111</v>
      </c>
      <c r="E135" s="17" t="s">
        <v>3</v>
      </c>
      <c r="F135" s="13">
        <v>43</v>
      </c>
      <c r="G135" s="13">
        <v>29</v>
      </c>
      <c r="H135" s="15">
        <v>1</v>
      </c>
      <c r="I135" s="13">
        <v>4</v>
      </c>
      <c r="J135" s="15">
        <v>0</v>
      </c>
    </row>
    <row r="136" spans="1:17" x14ac:dyDescent="0.35">
      <c r="A136" s="73"/>
      <c r="B136" s="73"/>
      <c r="C136" s="97"/>
      <c r="D136" s="16" t="s">
        <v>111</v>
      </c>
      <c r="E136" s="17" t="s">
        <v>4</v>
      </c>
      <c r="F136" s="13">
        <v>220</v>
      </c>
      <c r="G136" s="13">
        <v>55</v>
      </c>
      <c r="H136" s="13">
        <v>6</v>
      </c>
      <c r="I136" s="13">
        <v>6</v>
      </c>
      <c r="J136" s="13">
        <v>0</v>
      </c>
    </row>
    <row r="137" spans="1:17" x14ac:dyDescent="0.35">
      <c r="A137" s="73"/>
      <c r="B137" s="73"/>
      <c r="C137" s="97"/>
      <c r="D137" s="16" t="s">
        <v>111</v>
      </c>
      <c r="E137" s="17" t="s">
        <v>5</v>
      </c>
      <c r="F137" s="13">
        <v>92</v>
      </c>
      <c r="G137" s="13">
        <v>28</v>
      </c>
      <c r="H137" s="15">
        <v>0</v>
      </c>
      <c r="I137" s="13">
        <v>6</v>
      </c>
      <c r="J137" s="13">
        <v>0</v>
      </c>
    </row>
    <row r="138" spans="1:17" x14ac:dyDescent="0.35">
      <c r="A138" s="73"/>
      <c r="B138" s="73"/>
      <c r="C138" s="97"/>
      <c r="D138" s="16" t="s">
        <v>111</v>
      </c>
      <c r="E138" s="17" t="s">
        <v>6</v>
      </c>
      <c r="F138" s="13">
        <v>39</v>
      </c>
      <c r="G138" s="13">
        <v>5</v>
      </c>
      <c r="H138" s="15">
        <v>0</v>
      </c>
      <c r="I138" s="13">
        <v>1</v>
      </c>
      <c r="J138" s="15">
        <v>0</v>
      </c>
      <c r="K138" s="2">
        <f>SUM(F133:F138)</f>
        <v>494</v>
      </c>
      <c r="L138" s="2">
        <f t="shared" ref="L138:O138" si="15">SUM(G133:G138)</f>
        <v>154</v>
      </c>
      <c r="M138" s="2">
        <f t="shared" si="15"/>
        <v>9</v>
      </c>
      <c r="N138" s="2">
        <f t="shared" si="15"/>
        <v>19</v>
      </c>
      <c r="O138" s="2">
        <f t="shared" si="15"/>
        <v>4</v>
      </c>
    </row>
    <row r="139" spans="1:17" x14ac:dyDescent="0.35">
      <c r="A139" s="4" t="s">
        <v>320</v>
      </c>
      <c r="B139" s="4" t="s">
        <v>321</v>
      </c>
      <c r="C139" s="98">
        <v>6055</v>
      </c>
      <c r="D139" s="16" t="s">
        <v>112</v>
      </c>
      <c r="E139" s="17" t="s">
        <v>0</v>
      </c>
      <c r="F139" s="12">
        <v>2</v>
      </c>
      <c r="G139" s="14">
        <v>0</v>
      </c>
      <c r="H139" s="14">
        <v>0</v>
      </c>
      <c r="I139" s="12">
        <v>0</v>
      </c>
      <c r="J139" s="14">
        <v>0</v>
      </c>
    </row>
    <row r="140" spans="1:17" x14ac:dyDescent="0.35">
      <c r="A140" s="79"/>
      <c r="B140" s="79"/>
      <c r="C140" s="99"/>
      <c r="D140" s="16" t="s">
        <v>112</v>
      </c>
      <c r="E140" s="17" t="s">
        <v>17</v>
      </c>
      <c r="F140" s="12">
        <v>45</v>
      </c>
      <c r="G140" s="12">
        <v>10</v>
      </c>
      <c r="H140" s="14">
        <v>0</v>
      </c>
      <c r="I140" s="12">
        <v>2</v>
      </c>
      <c r="J140" s="14">
        <v>0</v>
      </c>
    </row>
    <row r="141" spans="1:17" x14ac:dyDescent="0.35">
      <c r="A141" s="79"/>
      <c r="B141" s="79"/>
      <c r="C141" s="99"/>
      <c r="D141" s="16" t="s">
        <v>112</v>
      </c>
      <c r="E141" s="17" t="s">
        <v>2</v>
      </c>
      <c r="F141" s="12">
        <v>23</v>
      </c>
      <c r="G141" s="12">
        <v>3</v>
      </c>
      <c r="H141" s="12">
        <v>4</v>
      </c>
      <c r="I141" s="14">
        <v>0</v>
      </c>
      <c r="J141" s="14">
        <v>0</v>
      </c>
    </row>
    <row r="142" spans="1:17" x14ac:dyDescent="0.35">
      <c r="A142" s="79"/>
      <c r="B142" s="79"/>
      <c r="C142" s="99"/>
      <c r="D142" s="16" t="s">
        <v>112</v>
      </c>
      <c r="E142" s="17" t="s">
        <v>3</v>
      </c>
      <c r="F142" s="12">
        <v>57</v>
      </c>
      <c r="G142" s="12">
        <v>8</v>
      </c>
      <c r="H142" s="12">
        <v>4</v>
      </c>
      <c r="I142" s="12">
        <v>1</v>
      </c>
      <c r="J142" s="14">
        <v>0</v>
      </c>
    </row>
    <row r="143" spans="1:17" x14ac:dyDescent="0.35">
      <c r="A143" s="79"/>
      <c r="B143" s="79"/>
      <c r="C143" s="99"/>
      <c r="D143" s="16" t="s">
        <v>112</v>
      </c>
      <c r="E143" s="17" t="s">
        <v>4</v>
      </c>
      <c r="F143" s="12">
        <v>193</v>
      </c>
      <c r="G143" s="12">
        <v>27</v>
      </c>
      <c r="H143" s="12">
        <v>24</v>
      </c>
      <c r="I143" s="12">
        <v>6</v>
      </c>
      <c r="J143" s="14">
        <v>1</v>
      </c>
    </row>
    <row r="144" spans="1:17" x14ac:dyDescent="0.35">
      <c r="A144" s="79"/>
      <c r="B144" s="79"/>
      <c r="C144" s="99"/>
      <c r="D144" s="16" t="s">
        <v>112</v>
      </c>
      <c r="E144" s="17" t="s">
        <v>5</v>
      </c>
      <c r="F144" s="12">
        <v>512</v>
      </c>
      <c r="G144" s="12">
        <v>100</v>
      </c>
      <c r="H144" s="12">
        <v>16</v>
      </c>
      <c r="I144" s="12">
        <v>18</v>
      </c>
      <c r="J144" s="14">
        <v>3</v>
      </c>
    </row>
    <row r="145" spans="1:17" x14ac:dyDescent="0.35">
      <c r="A145" s="79"/>
      <c r="B145" s="79"/>
      <c r="C145" s="99"/>
      <c r="D145" s="16" t="s">
        <v>112</v>
      </c>
      <c r="E145" s="17" t="s">
        <v>6</v>
      </c>
      <c r="F145" s="12">
        <v>95</v>
      </c>
      <c r="G145" s="12">
        <v>17</v>
      </c>
      <c r="H145" s="14">
        <v>0</v>
      </c>
      <c r="I145" s="12">
        <v>1</v>
      </c>
      <c r="J145" s="14">
        <v>0</v>
      </c>
    </row>
    <row r="146" spans="1:17" x14ac:dyDescent="0.35">
      <c r="A146" s="79"/>
      <c r="B146" s="79"/>
      <c r="C146" s="99"/>
      <c r="D146" s="16" t="s">
        <v>112</v>
      </c>
      <c r="E146" s="17" t="s">
        <v>7</v>
      </c>
      <c r="F146" s="12">
        <v>616</v>
      </c>
      <c r="G146" s="12">
        <v>113</v>
      </c>
      <c r="H146" s="12">
        <v>20</v>
      </c>
      <c r="I146" s="12">
        <v>23</v>
      </c>
      <c r="J146" s="12">
        <v>6</v>
      </c>
    </row>
    <row r="147" spans="1:17" x14ac:dyDescent="0.35">
      <c r="A147" s="79"/>
      <c r="B147" s="79"/>
      <c r="C147" s="99"/>
      <c r="D147" s="16" t="s">
        <v>112</v>
      </c>
      <c r="E147" s="17" t="s">
        <v>8</v>
      </c>
      <c r="F147" s="12">
        <v>88</v>
      </c>
      <c r="G147" s="12">
        <v>21</v>
      </c>
      <c r="H147" s="12">
        <v>4</v>
      </c>
      <c r="I147" s="12">
        <v>1</v>
      </c>
      <c r="J147" s="14">
        <v>0</v>
      </c>
      <c r="K147" s="2">
        <f>SUM(F139:F147)</f>
        <v>1631</v>
      </c>
      <c r="L147" s="2">
        <f t="shared" ref="L147:O147" si="16">SUM(G139:G147)</f>
        <v>299</v>
      </c>
      <c r="M147" s="2">
        <f t="shared" si="16"/>
        <v>72</v>
      </c>
      <c r="N147" s="2">
        <f t="shared" si="16"/>
        <v>52</v>
      </c>
      <c r="O147" s="2">
        <f t="shared" si="16"/>
        <v>10</v>
      </c>
      <c r="P147" s="2">
        <f>SUM(F147:J147)</f>
        <v>114</v>
      </c>
      <c r="Q147" s="168">
        <f>+P147+C139</f>
        <v>6169</v>
      </c>
    </row>
    <row r="148" spans="1:17" x14ac:dyDescent="0.35">
      <c r="A148" s="9" t="s">
        <v>543</v>
      </c>
      <c r="B148" s="9" t="s">
        <v>544</v>
      </c>
      <c r="C148" s="96">
        <v>1666</v>
      </c>
      <c r="D148" s="16" t="s">
        <v>113</v>
      </c>
      <c r="E148" s="17" t="s">
        <v>17</v>
      </c>
      <c r="F148" s="13">
        <v>128</v>
      </c>
      <c r="G148" s="13">
        <v>22</v>
      </c>
      <c r="H148" s="13">
        <v>2</v>
      </c>
      <c r="I148" s="13">
        <v>7</v>
      </c>
      <c r="J148" s="13">
        <v>1</v>
      </c>
    </row>
    <row r="149" spans="1:17" x14ac:dyDescent="0.35">
      <c r="A149" s="73"/>
      <c r="B149" s="73"/>
      <c r="C149" s="97"/>
      <c r="D149" s="16" t="s">
        <v>113</v>
      </c>
      <c r="E149" s="17" t="s">
        <v>2</v>
      </c>
      <c r="F149" s="13">
        <v>69</v>
      </c>
      <c r="G149" s="13">
        <v>16</v>
      </c>
      <c r="H149" s="15">
        <v>0</v>
      </c>
      <c r="I149" s="13">
        <v>2</v>
      </c>
      <c r="J149" s="15">
        <v>0</v>
      </c>
    </row>
    <row r="150" spans="1:17" x14ac:dyDescent="0.35">
      <c r="A150" s="73"/>
      <c r="B150" s="73"/>
      <c r="C150" s="97"/>
      <c r="D150" s="16" t="s">
        <v>113</v>
      </c>
      <c r="E150" s="17" t="s">
        <v>3</v>
      </c>
      <c r="F150" s="13">
        <v>98</v>
      </c>
      <c r="G150" s="13">
        <v>37</v>
      </c>
      <c r="H150" s="13">
        <v>0</v>
      </c>
      <c r="I150" s="13">
        <v>2</v>
      </c>
      <c r="J150" s="15">
        <v>0</v>
      </c>
    </row>
    <row r="151" spans="1:17" x14ac:dyDescent="0.35">
      <c r="A151" s="73"/>
      <c r="B151" s="73"/>
      <c r="C151" s="97"/>
      <c r="D151" s="16" t="s">
        <v>113</v>
      </c>
      <c r="E151" s="17" t="s">
        <v>4</v>
      </c>
      <c r="F151" s="13">
        <v>97</v>
      </c>
      <c r="G151" s="13">
        <v>65</v>
      </c>
      <c r="H151" s="13">
        <v>3</v>
      </c>
      <c r="I151" s="13">
        <v>13</v>
      </c>
      <c r="J151" s="13">
        <v>2</v>
      </c>
    </row>
    <row r="152" spans="1:17" x14ac:dyDescent="0.35">
      <c r="A152" s="73"/>
      <c r="B152" s="73"/>
      <c r="C152" s="97"/>
      <c r="D152" s="16" t="s">
        <v>113</v>
      </c>
      <c r="E152" s="17" t="s">
        <v>5</v>
      </c>
      <c r="F152" s="13">
        <v>90</v>
      </c>
      <c r="G152" s="13">
        <v>41</v>
      </c>
      <c r="H152" s="13">
        <v>4</v>
      </c>
      <c r="I152" s="13">
        <v>4</v>
      </c>
      <c r="J152" s="15">
        <v>0</v>
      </c>
    </row>
    <row r="153" spans="1:17" x14ac:dyDescent="0.35">
      <c r="A153" s="73"/>
      <c r="B153" s="73"/>
      <c r="C153" s="97"/>
      <c r="D153" s="16" t="s">
        <v>113</v>
      </c>
      <c r="E153" s="17" t="s">
        <v>6</v>
      </c>
      <c r="F153" s="13">
        <v>49</v>
      </c>
      <c r="G153" s="13">
        <v>28</v>
      </c>
      <c r="H153" s="13">
        <v>1</v>
      </c>
      <c r="I153" s="13">
        <v>3</v>
      </c>
      <c r="J153" s="15">
        <v>1</v>
      </c>
    </row>
    <row r="154" spans="1:17" x14ac:dyDescent="0.35">
      <c r="A154" s="73"/>
      <c r="B154" s="73"/>
      <c r="C154" s="97"/>
      <c r="D154" s="16" t="s">
        <v>113</v>
      </c>
      <c r="E154" s="17" t="s">
        <v>7</v>
      </c>
      <c r="F154" s="13">
        <v>150</v>
      </c>
      <c r="G154" s="13">
        <v>34</v>
      </c>
      <c r="H154" s="13">
        <v>7</v>
      </c>
      <c r="I154" s="13">
        <v>5</v>
      </c>
      <c r="J154" s="13">
        <v>2</v>
      </c>
    </row>
    <row r="155" spans="1:17" x14ac:dyDescent="0.35">
      <c r="A155" s="73"/>
      <c r="B155" s="73"/>
      <c r="C155" s="97"/>
      <c r="D155" s="16" t="s">
        <v>113</v>
      </c>
      <c r="E155" s="17" t="s">
        <v>8</v>
      </c>
      <c r="F155" s="13">
        <v>117</v>
      </c>
      <c r="G155" s="13">
        <v>17</v>
      </c>
      <c r="H155" s="13">
        <v>9</v>
      </c>
      <c r="I155" s="13">
        <v>4</v>
      </c>
      <c r="J155" s="13">
        <v>2</v>
      </c>
      <c r="K155" s="2">
        <f>SUM(F148:F155)</f>
        <v>798</v>
      </c>
      <c r="L155" s="2">
        <f t="shared" ref="L155:O155" si="17">SUM(G148:G155)</f>
        <v>260</v>
      </c>
      <c r="M155" s="2">
        <f t="shared" si="17"/>
        <v>26</v>
      </c>
      <c r="N155" s="2">
        <f t="shared" si="17"/>
        <v>40</v>
      </c>
      <c r="O155" s="2">
        <f t="shared" si="17"/>
        <v>8</v>
      </c>
    </row>
    <row r="156" spans="1:17" x14ac:dyDescent="0.35">
      <c r="A156" s="4" t="s">
        <v>322</v>
      </c>
      <c r="B156" s="4" t="s">
        <v>323</v>
      </c>
      <c r="C156" s="98">
        <v>945</v>
      </c>
      <c r="D156" s="16" t="s">
        <v>114</v>
      </c>
      <c r="E156" s="17" t="s">
        <v>17</v>
      </c>
      <c r="F156" s="12">
        <v>172</v>
      </c>
      <c r="G156" s="12">
        <v>52</v>
      </c>
      <c r="H156" s="12">
        <v>3</v>
      </c>
      <c r="I156" s="12">
        <v>10</v>
      </c>
      <c r="J156" s="14">
        <v>0</v>
      </c>
    </row>
    <row r="157" spans="1:17" x14ac:dyDescent="0.35">
      <c r="A157" s="79"/>
      <c r="B157" s="79"/>
      <c r="C157" s="99"/>
      <c r="D157" s="16" t="s">
        <v>114</v>
      </c>
      <c r="E157" s="17" t="s">
        <v>2</v>
      </c>
      <c r="F157" s="12">
        <v>86</v>
      </c>
      <c r="G157" s="12">
        <v>29</v>
      </c>
      <c r="H157" s="12">
        <v>1</v>
      </c>
      <c r="I157" s="12">
        <v>5</v>
      </c>
      <c r="J157" s="14">
        <v>1</v>
      </c>
    </row>
    <row r="158" spans="1:17" x14ac:dyDescent="0.35">
      <c r="A158" s="79"/>
      <c r="B158" s="79"/>
      <c r="C158" s="99"/>
      <c r="D158" s="16" t="s">
        <v>114</v>
      </c>
      <c r="E158" s="17" t="s">
        <v>3</v>
      </c>
      <c r="F158" s="12">
        <v>80</v>
      </c>
      <c r="G158" s="12">
        <v>16</v>
      </c>
      <c r="H158" s="12">
        <v>2</v>
      </c>
      <c r="I158" s="12">
        <v>1</v>
      </c>
      <c r="J158" s="14">
        <v>0</v>
      </c>
    </row>
    <row r="159" spans="1:17" x14ac:dyDescent="0.35">
      <c r="A159" s="79"/>
      <c r="B159" s="79"/>
      <c r="C159" s="99"/>
      <c r="D159" s="16" t="s">
        <v>114</v>
      </c>
      <c r="E159" s="17" t="s">
        <v>4</v>
      </c>
      <c r="F159" s="12">
        <v>96</v>
      </c>
      <c r="G159" s="12">
        <v>15</v>
      </c>
      <c r="H159" s="14">
        <v>0</v>
      </c>
      <c r="I159" s="14">
        <v>1</v>
      </c>
      <c r="J159" s="14">
        <v>1</v>
      </c>
    </row>
    <row r="160" spans="1:17" x14ac:dyDescent="0.35">
      <c r="A160" s="79"/>
      <c r="B160" s="79"/>
      <c r="C160" s="99"/>
      <c r="D160" s="16" t="s">
        <v>114</v>
      </c>
      <c r="E160" s="17" t="s">
        <v>5</v>
      </c>
      <c r="F160" s="12">
        <v>72</v>
      </c>
      <c r="G160" s="12">
        <v>19</v>
      </c>
      <c r="H160" s="14">
        <v>0</v>
      </c>
      <c r="I160" s="12">
        <v>2</v>
      </c>
      <c r="J160" s="14">
        <v>0</v>
      </c>
      <c r="K160" s="2">
        <f>SUM(F156:F160)</f>
        <v>506</v>
      </c>
      <c r="L160" s="2">
        <f t="shared" ref="L160:O160" si="18">SUM(G156:G160)</f>
        <v>131</v>
      </c>
      <c r="M160" s="2">
        <f t="shared" si="18"/>
        <v>6</v>
      </c>
      <c r="N160" s="2">
        <f t="shared" si="18"/>
        <v>19</v>
      </c>
      <c r="O160" s="2">
        <f t="shared" si="18"/>
        <v>2</v>
      </c>
    </row>
    <row r="161" spans="1:10" x14ac:dyDescent="0.35">
      <c r="A161" s="80"/>
      <c r="B161" s="80"/>
      <c r="C161" s="105">
        <f>SUM(C5:C156)</f>
        <v>60707</v>
      </c>
      <c r="D161" s="336" t="s">
        <v>229</v>
      </c>
      <c r="E161" s="337"/>
      <c r="F161" s="20">
        <f>SUM(F5:F160)</f>
        <v>27085</v>
      </c>
      <c r="G161" s="20">
        <f>SUM(G5:G160)</f>
        <v>6134</v>
      </c>
      <c r="H161" s="20">
        <f>SUM(H5:H160)</f>
        <v>763</v>
      </c>
      <c r="I161" s="20">
        <f>SUM(I5:I160)</f>
        <v>1084</v>
      </c>
      <c r="J161" s="20">
        <f>SUM(J5:J160)</f>
        <v>185</v>
      </c>
    </row>
    <row r="162" spans="1:10" x14ac:dyDescent="0.35">
      <c r="A162" s="338" t="s">
        <v>731</v>
      </c>
      <c r="B162" s="339"/>
      <c r="C162" s="106">
        <f>SUM(C161,F161,G161,H161,I161,J161)</f>
        <v>95958</v>
      </c>
    </row>
    <row r="163" spans="1:10" x14ac:dyDescent="0.35">
      <c r="F163" s="108"/>
    </row>
    <row r="164" spans="1:10" x14ac:dyDescent="0.35">
      <c r="H164" s="1"/>
      <c r="I164" s="1"/>
    </row>
  </sheetData>
  <mergeCells count="7">
    <mergeCell ref="A162:B162"/>
    <mergeCell ref="D161:E161"/>
    <mergeCell ref="D1:J1"/>
    <mergeCell ref="D2:J2"/>
    <mergeCell ref="F3:J3"/>
    <mergeCell ref="A1:C1"/>
    <mergeCell ref="A2:C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3"/>
  <sheetViews>
    <sheetView workbookViewId="0">
      <selection sqref="A1:C1"/>
    </sheetView>
  </sheetViews>
  <sheetFormatPr defaultRowHeight="21" x14ac:dyDescent="0.35"/>
  <cols>
    <col min="1" max="1" width="14.28515625" style="2" customWidth="1"/>
    <col min="2" max="2" width="19.7109375" style="2" customWidth="1"/>
    <col min="3" max="3" width="19.42578125" style="94" customWidth="1"/>
    <col min="4" max="4" width="14.5703125" style="2" customWidth="1"/>
    <col min="5" max="5" width="9.140625" style="22"/>
    <col min="6" max="6" width="13.7109375" style="22" customWidth="1"/>
    <col min="7" max="7" width="13.42578125" style="22" customWidth="1"/>
    <col min="8" max="8" width="12.85546875" style="22" customWidth="1"/>
    <col min="9" max="9" width="20.42578125" style="22" customWidth="1"/>
    <col min="10" max="10" width="14.85546875" style="22" customWidth="1"/>
    <col min="11" max="16384" width="9.140625" style="2"/>
  </cols>
  <sheetData>
    <row r="1" spans="1:15" x14ac:dyDescent="0.35">
      <c r="A1" s="334" t="s">
        <v>732</v>
      </c>
      <c r="B1" s="334"/>
      <c r="C1" s="334"/>
      <c r="D1" s="330" t="s">
        <v>243</v>
      </c>
      <c r="E1" s="330"/>
      <c r="F1" s="330"/>
      <c r="G1" s="330"/>
      <c r="H1" s="330"/>
      <c r="I1" s="330"/>
      <c r="J1" s="330"/>
    </row>
    <row r="2" spans="1:15" x14ac:dyDescent="0.35">
      <c r="A2" s="334" t="s">
        <v>861</v>
      </c>
      <c r="B2" s="334"/>
      <c r="C2" s="334"/>
      <c r="D2" s="330" t="s">
        <v>862</v>
      </c>
      <c r="E2" s="330"/>
      <c r="F2" s="330"/>
      <c r="G2" s="330"/>
      <c r="H2" s="330"/>
      <c r="I2" s="330"/>
      <c r="J2" s="330"/>
    </row>
    <row r="3" spans="1:15" x14ac:dyDescent="0.35">
      <c r="A3" s="90"/>
      <c r="B3" s="90"/>
      <c r="C3" s="109"/>
      <c r="D3" s="91"/>
      <c r="E3" s="91"/>
      <c r="F3" s="342" t="s">
        <v>716</v>
      </c>
      <c r="G3" s="342"/>
      <c r="H3" s="342"/>
      <c r="I3" s="342"/>
      <c r="J3" s="342"/>
    </row>
    <row r="4" spans="1:15" x14ac:dyDescent="0.35">
      <c r="A4" s="85" t="s">
        <v>714</v>
      </c>
      <c r="B4" s="85" t="s">
        <v>254</v>
      </c>
      <c r="C4" s="86" t="s">
        <v>715</v>
      </c>
      <c r="D4" s="45" t="s">
        <v>223</v>
      </c>
      <c r="E4" s="14" t="s">
        <v>222</v>
      </c>
      <c r="F4" s="14" t="s">
        <v>218</v>
      </c>
      <c r="G4" s="14" t="s">
        <v>219</v>
      </c>
      <c r="H4" s="14" t="s">
        <v>220</v>
      </c>
      <c r="I4" s="14" t="s">
        <v>238</v>
      </c>
      <c r="J4" s="14" t="s">
        <v>221</v>
      </c>
    </row>
    <row r="5" spans="1:15" x14ac:dyDescent="0.35">
      <c r="A5" s="9" t="s">
        <v>551</v>
      </c>
      <c r="B5" s="9" t="s">
        <v>552</v>
      </c>
      <c r="C5" s="96">
        <v>2220</v>
      </c>
      <c r="D5" s="43" t="s">
        <v>115</v>
      </c>
      <c r="E5" s="12" t="s">
        <v>17</v>
      </c>
      <c r="F5" s="13">
        <v>50</v>
      </c>
      <c r="G5" s="13">
        <v>11</v>
      </c>
      <c r="H5" s="15">
        <v>0</v>
      </c>
      <c r="I5" s="15">
        <v>11</v>
      </c>
      <c r="J5" s="15">
        <v>0</v>
      </c>
    </row>
    <row r="6" spans="1:15" x14ac:dyDescent="0.35">
      <c r="D6" s="43" t="s">
        <v>115</v>
      </c>
      <c r="E6" s="12" t="s">
        <v>2</v>
      </c>
      <c r="F6" s="13">
        <v>50</v>
      </c>
      <c r="G6" s="13">
        <v>17</v>
      </c>
      <c r="H6" s="13">
        <v>3</v>
      </c>
      <c r="I6" s="13">
        <v>3</v>
      </c>
      <c r="J6" s="15">
        <v>0</v>
      </c>
    </row>
    <row r="7" spans="1:15" x14ac:dyDescent="0.35">
      <c r="A7" s="73"/>
      <c r="B7" s="73"/>
      <c r="C7" s="97"/>
      <c r="D7" s="43" t="s">
        <v>115</v>
      </c>
      <c r="E7" s="12" t="s">
        <v>3</v>
      </c>
      <c r="F7" s="13">
        <v>75</v>
      </c>
      <c r="G7" s="13">
        <v>23</v>
      </c>
      <c r="H7" s="13">
        <v>12</v>
      </c>
      <c r="I7" s="13">
        <v>4</v>
      </c>
      <c r="J7" s="15">
        <v>0</v>
      </c>
    </row>
    <row r="8" spans="1:15" x14ac:dyDescent="0.35">
      <c r="A8" s="73"/>
      <c r="B8" s="73"/>
      <c r="C8" s="97"/>
      <c r="D8" s="43" t="s">
        <v>115</v>
      </c>
      <c r="E8" s="12" t="s">
        <v>4</v>
      </c>
      <c r="F8" s="13">
        <v>27</v>
      </c>
      <c r="G8" s="13">
        <v>24</v>
      </c>
      <c r="H8" s="13">
        <v>3</v>
      </c>
      <c r="I8" s="13">
        <v>2</v>
      </c>
      <c r="J8" s="13">
        <v>0</v>
      </c>
    </row>
    <row r="9" spans="1:15" x14ac:dyDescent="0.35">
      <c r="A9" s="73"/>
      <c r="B9" s="73"/>
      <c r="C9" s="97"/>
      <c r="D9" s="43" t="s">
        <v>115</v>
      </c>
      <c r="E9" s="12" t="s">
        <v>5</v>
      </c>
      <c r="F9" s="13">
        <v>118</v>
      </c>
      <c r="G9" s="13">
        <v>23</v>
      </c>
      <c r="H9" s="13">
        <v>16</v>
      </c>
      <c r="I9" s="13">
        <v>4</v>
      </c>
      <c r="J9" s="13">
        <v>2</v>
      </c>
    </row>
    <row r="10" spans="1:15" x14ac:dyDescent="0.35">
      <c r="A10" s="73"/>
      <c r="B10" s="73"/>
      <c r="C10" s="97"/>
      <c r="D10" s="43" t="s">
        <v>115</v>
      </c>
      <c r="E10" s="12" t="s">
        <v>6</v>
      </c>
      <c r="F10" s="13">
        <v>389</v>
      </c>
      <c r="G10" s="13">
        <v>250</v>
      </c>
      <c r="H10" s="13">
        <v>19</v>
      </c>
      <c r="I10" s="13">
        <v>31</v>
      </c>
      <c r="J10" s="15">
        <v>1</v>
      </c>
    </row>
    <row r="11" spans="1:15" x14ac:dyDescent="0.35">
      <c r="A11" s="73"/>
      <c r="B11" s="73"/>
      <c r="C11" s="97"/>
      <c r="D11" s="43" t="s">
        <v>115</v>
      </c>
      <c r="E11" s="12" t="s">
        <v>7</v>
      </c>
      <c r="F11" s="13">
        <v>157</v>
      </c>
      <c r="G11" s="13">
        <v>14</v>
      </c>
      <c r="H11" s="13">
        <v>3</v>
      </c>
      <c r="I11" s="13">
        <v>4</v>
      </c>
      <c r="J11" s="15">
        <v>1</v>
      </c>
    </row>
    <row r="12" spans="1:15" x14ac:dyDescent="0.35">
      <c r="A12" s="73"/>
      <c r="B12" s="73"/>
      <c r="C12" s="97"/>
      <c r="D12" s="43" t="s">
        <v>115</v>
      </c>
      <c r="E12" s="12" t="s">
        <v>15</v>
      </c>
      <c r="F12" s="13">
        <v>3</v>
      </c>
      <c r="G12" s="15">
        <v>0</v>
      </c>
      <c r="H12" s="15">
        <v>0</v>
      </c>
      <c r="I12" s="15">
        <v>0</v>
      </c>
      <c r="J12" s="15">
        <v>0</v>
      </c>
      <c r="K12" s="2">
        <f>SUM(F5:F12)</f>
        <v>869</v>
      </c>
      <c r="L12" s="2">
        <f>SUM(G5:G12)</f>
        <v>362</v>
      </c>
      <c r="M12" s="2">
        <f t="shared" ref="M12:O12" si="0">SUM(H5:H12)</f>
        <v>56</v>
      </c>
      <c r="N12" s="2">
        <f t="shared" si="0"/>
        <v>59</v>
      </c>
      <c r="O12" s="2">
        <f t="shared" si="0"/>
        <v>4</v>
      </c>
    </row>
    <row r="13" spans="1:15" x14ac:dyDescent="0.35">
      <c r="A13" s="4" t="s">
        <v>324</v>
      </c>
      <c r="B13" s="4" t="s">
        <v>325</v>
      </c>
      <c r="C13" s="98">
        <v>1010</v>
      </c>
      <c r="D13" s="43" t="s">
        <v>116</v>
      </c>
      <c r="E13" s="12" t="s">
        <v>17</v>
      </c>
      <c r="F13" s="12">
        <v>97</v>
      </c>
      <c r="G13" s="12">
        <v>20</v>
      </c>
      <c r="H13" s="12">
        <v>3</v>
      </c>
      <c r="I13" s="12">
        <v>7</v>
      </c>
      <c r="J13" s="14">
        <v>1</v>
      </c>
    </row>
    <row r="14" spans="1:15" x14ac:dyDescent="0.35">
      <c r="A14" s="79"/>
      <c r="B14" s="79"/>
      <c r="C14" s="99"/>
      <c r="D14" s="43" t="s">
        <v>116</v>
      </c>
      <c r="E14" s="12" t="s">
        <v>2</v>
      </c>
      <c r="F14" s="12">
        <v>92</v>
      </c>
      <c r="G14" s="12">
        <v>21</v>
      </c>
      <c r="H14" s="14">
        <v>0</v>
      </c>
      <c r="I14" s="12">
        <v>3</v>
      </c>
      <c r="J14" s="12">
        <v>0</v>
      </c>
    </row>
    <row r="15" spans="1:15" x14ac:dyDescent="0.35">
      <c r="A15" s="79"/>
      <c r="B15" s="79"/>
      <c r="C15" s="99"/>
      <c r="D15" s="43" t="s">
        <v>116</v>
      </c>
      <c r="E15" s="12" t="s">
        <v>3</v>
      </c>
      <c r="F15" s="12">
        <v>79</v>
      </c>
      <c r="G15" s="12">
        <v>32</v>
      </c>
      <c r="H15" s="14">
        <v>0</v>
      </c>
      <c r="I15" s="12">
        <v>3</v>
      </c>
      <c r="J15" s="14">
        <v>1</v>
      </c>
    </row>
    <row r="16" spans="1:15" x14ac:dyDescent="0.35">
      <c r="A16" s="79"/>
      <c r="B16" s="79"/>
      <c r="C16" s="99"/>
      <c r="D16" s="43" t="s">
        <v>116</v>
      </c>
      <c r="E16" s="12" t="s">
        <v>4</v>
      </c>
      <c r="F16" s="12">
        <v>79</v>
      </c>
      <c r="G16" s="12">
        <v>20</v>
      </c>
      <c r="H16" s="14">
        <v>2</v>
      </c>
      <c r="I16" s="12">
        <v>2</v>
      </c>
      <c r="J16" s="14">
        <v>1</v>
      </c>
    </row>
    <row r="17" spans="1:15" x14ac:dyDescent="0.35">
      <c r="A17" s="79"/>
      <c r="B17" s="79"/>
      <c r="C17" s="99"/>
      <c r="D17" s="43" t="s">
        <v>116</v>
      </c>
      <c r="E17" s="12" t="s">
        <v>5</v>
      </c>
      <c r="F17" s="12">
        <v>77</v>
      </c>
      <c r="G17" s="12">
        <v>23</v>
      </c>
      <c r="H17" s="14">
        <v>0</v>
      </c>
      <c r="I17" s="12">
        <v>2</v>
      </c>
      <c r="J17" s="14">
        <v>0</v>
      </c>
    </row>
    <row r="18" spans="1:15" x14ac:dyDescent="0.35">
      <c r="A18" s="79"/>
      <c r="B18" s="79"/>
      <c r="C18" s="99"/>
      <c r="D18" s="43" t="s">
        <v>116</v>
      </c>
      <c r="E18" s="12" t="s">
        <v>6</v>
      </c>
      <c r="F18" s="12">
        <v>76</v>
      </c>
      <c r="G18" s="12">
        <v>25</v>
      </c>
      <c r="H18" s="14">
        <v>0</v>
      </c>
      <c r="I18" s="12">
        <v>3</v>
      </c>
      <c r="J18" s="14">
        <v>0</v>
      </c>
      <c r="K18" s="2">
        <f>SUM(F13:F18)</f>
        <v>500</v>
      </c>
      <c r="L18" s="2">
        <f t="shared" ref="L18:O18" si="1">SUM(G13:G18)</f>
        <v>141</v>
      </c>
      <c r="M18" s="2">
        <f t="shared" si="1"/>
        <v>5</v>
      </c>
      <c r="N18" s="2">
        <f t="shared" si="1"/>
        <v>20</v>
      </c>
      <c r="O18" s="2">
        <f t="shared" si="1"/>
        <v>3</v>
      </c>
    </row>
    <row r="19" spans="1:15" x14ac:dyDescent="0.35">
      <c r="A19" s="9" t="s">
        <v>481</v>
      </c>
      <c r="B19" s="9" t="s">
        <v>482</v>
      </c>
      <c r="C19" s="96">
        <v>2060</v>
      </c>
      <c r="D19" s="43" t="s">
        <v>117</v>
      </c>
      <c r="E19" s="12" t="s">
        <v>17</v>
      </c>
      <c r="F19" s="13">
        <v>100</v>
      </c>
      <c r="G19" s="13">
        <v>43</v>
      </c>
      <c r="H19" s="13">
        <v>6</v>
      </c>
      <c r="I19" s="13">
        <v>4</v>
      </c>
      <c r="J19" s="13">
        <v>0</v>
      </c>
    </row>
    <row r="20" spans="1:15" x14ac:dyDescent="0.35">
      <c r="A20" s="73"/>
      <c r="B20" s="73"/>
      <c r="C20" s="97"/>
      <c r="D20" s="43" t="s">
        <v>117</v>
      </c>
      <c r="E20" s="12" t="s">
        <v>2</v>
      </c>
      <c r="F20" s="13">
        <v>39</v>
      </c>
      <c r="G20" s="13">
        <v>29</v>
      </c>
      <c r="H20" s="13">
        <v>1</v>
      </c>
      <c r="I20" s="13">
        <v>2</v>
      </c>
      <c r="J20" s="15">
        <v>0</v>
      </c>
    </row>
    <row r="21" spans="1:15" x14ac:dyDescent="0.35">
      <c r="A21" s="73"/>
      <c r="B21" s="73"/>
      <c r="C21" s="97"/>
      <c r="D21" s="43" t="s">
        <v>117</v>
      </c>
      <c r="E21" s="12" t="s">
        <v>3</v>
      </c>
      <c r="F21" s="13">
        <v>132</v>
      </c>
      <c r="G21" s="13">
        <v>37</v>
      </c>
      <c r="H21" s="15">
        <v>0</v>
      </c>
      <c r="I21" s="13">
        <v>6</v>
      </c>
      <c r="J21" s="15">
        <v>0</v>
      </c>
    </row>
    <row r="22" spans="1:15" x14ac:dyDescent="0.35">
      <c r="A22" s="73"/>
      <c r="B22" s="73"/>
      <c r="C22" s="97"/>
      <c r="D22" s="43" t="s">
        <v>117</v>
      </c>
      <c r="E22" s="12" t="s">
        <v>4</v>
      </c>
      <c r="F22" s="13">
        <v>174</v>
      </c>
      <c r="G22" s="13">
        <v>20</v>
      </c>
      <c r="H22" s="13">
        <v>12</v>
      </c>
      <c r="I22" s="13">
        <v>1</v>
      </c>
      <c r="J22" s="15">
        <v>1</v>
      </c>
    </row>
    <row r="23" spans="1:15" x14ac:dyDescent="0.35">
      <c r="A23" s="73"/>
      <c r="B23" s="73"/>
      <c r="C23" s="97"/>
      <c r="D23" s="43" t="s">
        <v>117</v>
      </c>
      <c r="E23" s="12" t="s">
        <v>5</v>
      </c>
      <c r="F23" s="13">
        <v>165</v>
      </c>
      <c r="G23" s="13">
        <v>42</v>
      </c>
      <c r="H23" s="13">
        <v>7</v>
      </c>
      <c r="I23" s="13">
        <v>4</v>
      </c>
      <c r="J23" s="13">
        <v>1</v>
      </c>
    </row>
    <row r="24" spans="1:15" x14ac:dyDescent="0.35">
      <c r="A24" s="73"/>
      <c r="B24" s="73"/>
      <c r="C24" s="97"/>
      <c r="D24" s="43" t="s">
        <v>117</v>
      </c>
      <c r="E24" s="12" t="s">
        <v>6</v>
      </c>
      <c r="F24" s="13">
        <v>118</v>
      </c>
      <c r="G24" s="13">
        <v>17</v>
      </c>
      <c r="H24" s="13">
        <v>2</v>
      </c>
      <c r="I24" s="13">
        <v>2</v>
      </c>
      <c r="J24" s="15">
        <v>2</v>
      </c>
      <c r="K24" s="2">
        <f>SUM(F19:F24)</f>
        <v>728</v>
      </c>
      <c r="L24" s="2">
        <f t="shared" ref="L24:O24" si="2">SUM(G19:G24)</f>
        <v>188</v>
      </c>
      <c r="M24" s="2">
        <f t="shared" si="2"/>
        <v>28</v>
      </c>
      <c r="N24" s="2">
        <f t="shared" si="2"/>
        <v>19</v>
      </c>
      <c r="O24" s="2">
        <f t="shared" si="2"/>
        <v>4</v>
      </c>
    </row>
    <row r="25" spans="1:15" x14ac:dyDescent="0.35">
      <c r="A25" s="4" t="s">
        <v>553</v>
      </c>
      <c r="B25" s="4" t="s">
        <v>554</v>
      </c>
      <c r="C25" s="98">
        <v>1385</v>
      </c>
      <c r="D25" s="43" t="s">
        <v>118</v>
      </c>
      <c r="E25" s="12" t="s">
        <v>17</v>
      </c>
      <c r="F25" s="12">
        <v>179</v>
      </c>
      <c r="G25" s="12">
        <v>86</v>
      </c>
      <c r="H25" s="12">
        <v>5</v>
      </c>
      <c r="I25" s="12">
        <v>13</v>
      </c>
      <c r="J25" s="14">
        <v>1</v>
      </c>
    </row>
    <row r="26" spans="1:15" x14ac:dyDescent="0.35">
      <c r="A26" s="79"/>
      <c r="B26" s="79"/>
      <c r="C26" s="99"/>
      <c r="D26" s="43" t="s">
        <v>118</v>
      </c>
      <c r="E26" s="12" t="s">
        <v>2</v>
      </c>
      <c r="F26" s="12">
        <v>122</v>
      </c>
      <c r="G26" s="12">
        <v>27</v>
      </c>
      <c r="H26" s="12">
        <v>4</v>
      </c>
      <c r="I26" s="12">
        <v>3</v>
      </c>
      <c r="J26" s="14">
        <v>1</v>
      </c>
    </row>
    <row r="27" spans="1:15" x14ac:dyDescent="0.35">
      <c r="A27" s="79"/>
      <c r="B27" s="79"/>
      <c r="C27" s="99"/>
      <c r="D27" s="43" t="s">
        <v>118</v>
      </c>
      <c r="E27" s="12" t="s">
        <v>3</v>
      </c>
      <c r="F27" s="12">
        <v>91</v>
      </c>
      <c r="G27" s="12">
        <v>43</v>
      </c>
      <c r="H27" s="12">
        <v>1</v>
      </c>
      <c r="I27" s="12">
        <v>9</v>
      </c>
      <c r="J27" s="14">
        <v>0</v>
      </c>
    </row>
    <row r="28" spans="1:15" x14ac:dyDescent="0.35">
      <c r="A28" s="79"/>
      <c r="B28" s="79"/>
      <c r="C28" s="99"/>
      <c r="D28" s="43" t="s">
        <v>118</v>
      </c>
      <c r="E28" s="12" t="s">
        <v>4</v>
      </c>
      <c r="F28" s="12">
        <v>82</v>
      </c>
      <c r="G28" s="12">
        <v>29</v>
      </c>
      <c r="H28" s="12">
        <v>1</v>
      </c>
      <c r="I28" s="12">
        <v>3</v>
      </c>
      <c r="J28" s="14">
        <v>0</v>
      </c>
    </row>
    <row r="29" spans="1:15" x14ac:dyDescent="0.35">
      <c r="A29" s="79"/>
      <c r="B29" s="79"/>
      <c r="C29" s="99"/>
      <c r="D29" s="43" t="s">
        <v>118</v>
      </c>
      <c r="E29" s="12" t="s">
        <v>5</v>
      </c>
      <c r="F29" s="12">
        <v>95</v>
      </c>
      <c r="G29" s="12">
        <v>50</v>
      </c>
      <c r="H29" s="12">
        <v>2</v>
      </c>
      <c r="I29" s="12">
        <v>7</v>
      </c>
      <c r="J29" s="14">
        <v>0</v>
      </c>
      <c r="K29" s="2">
        <f>SUM(F25:F29)</f>
        <v>569</v>
      </c>
      <c r="L29" s="2">
        <f t="shared" ref="L29:O29" si="3">SUM(G25:G29)</f>
        <v>235</v>
      </c>
      <c r="M29" s="2">
        <f t="shared" si="3"/>
        <v>13</v>
      </c>
      <c r="N29" s="2">
        <f t="shared" si="3"/>
        <v>35</v>
      </c>
      <c r="O29" s="2">
        <f t="shared" si="3"/>
        <v>2</v>
      </c>
    </row>
    <row r="30" spans="1:15" x14ac:dyDescent="0.35">
      <c r="A30" s="9" t="s">
        <v>555</v>
      </c>
      <c r="B30" s="9" t="s">
        <v>556</v>
      </c>
      <c r="C30" s="96">
        <v>1102</v>
      </c>
      <c r="D30" s="43" t="s">
        <v>119</v>
      </c>
      <c r="E30" s="12" t="s">
        <v>17</v>
      </c>
      <c r="F30" s="13">
        <v>184</v>
      </c>
      <c r="G30" s="13">
        <v>60</v>
      </c>
      <c r="H30" s="13">
        <v>7</v>
      </c>
      <c r="I30" s="13">
        <v>17</v>
      </c>
      <c r="J30" s="15">
        <v>0</v>
      </c>
    </row>
    <row r="31" spans="1:15" x14ac:dyDescent="0.35">
      <c r="A31" s="73"/>
      <c r="B31" s="73"/>
      <c r="C31" s="97"/>
      <c r="D31" s="43" t="s">
        <v>119</v>
      </c>
      <c r="E31" s="12" t="s">
        <v>2</v>
      </c>
      <c r="F31" s="13">
        <v>111</v>
      </c>
      <c r="G31" s="13">
        <v>31</v>
      </c>
      <c r="H31" s="13">
        <v>3</v>
      </c>
      <c r="I31" s="13">
        <v>6</v>
      </c>
      <c r="J31" s="15">
        <v>0</v>
      </c>
    </row>
    <row r="32" spans="1:15" x14ac:dyDescent="0.35">
      <c r="A32" s="73"/>
      <c r="B32" s="73"/>
      <c r="C32" s="97"/>
      <c r="D32" s="43" t="s">
        <v>119</v>
      </c>
      <c r="E32" s="12" t="s">
        <v>3</v>
      </c>
      <c r="F32" s="13">
        <v>131</v>
      </c>
      <c r="G32" s="13">
        <v>38</v>
      </c>
      <c r="H32" s="13">
        <v>1</v>
      </c>
      <c r="I32" s="13">
        <v>5</v>
      </c>
      <c r="J32" s="15">
        <v>0</v>
      </c>
    </row>
    <row r="33" spans="1:15" x14ac:dyDescent="0.35">
      <c r="A33" s="73"/>
      <c r="B33" s="73"/>
      <c r="C33" s="97"/>
      <c r="D33" s="43" t="s">
        <v>119</v>
      </c>
      <c r="E33" s="12" t="s">
        <v>4</v>
      </c>
      <c r="F33" s="13">
        <v>121</v>
      </c>
      <c r="G33" s="13">
        <v>46</v>
      </c>
      <c r="H33" s="13">
        <v>5</v>
      </c>
      <c r="I33" s="13">
        <v>5</v>
      </c>
      <c r="J33" s="13">
        <v>0</v>
      </c>
      <c r="K33" s="2">
        <f>SUM(F30:F33)</f>
        <v>547</v>
      </c>
      <c r="L33" s="2">
        <f t="shared" ref="L33:O33" si="4">SUM(G30:G33)</f>
        <v>175</v>
      </c>
      <c r="M33" s="2">
        <f t="shared" si="4"/>
        <v>16</v>
      </c>
      <c r="N33" s="2">
        <f t="shared" si="4"/>
        <v>33</v>
      </c>
      <c r="O33" s="2">
        <f t="shared" si="4"/>
        <v>0</v>
      </c>
    </row>
    <row r="34" spans="1:15" x14ac:dyDescent="0.35">
      <c r="A34" s="4" t="s">
        <v>557</v>
      </c>
      <c r="B34" s="4" t="s">
        <v>558</v>
      </c>
      <c r="C34" s="98">
        <v>841</v>
      </c>
      <c r="D34" s="43" t="s">
        <v>120</v>
      </c>
      <c r="E34" s="12" t="s">
        <v>17</v>
      </c>
      <c r="F34" s="12">
        <v>194</v>
      </c>
      <c r="G34" s="12">
        <v>45</v>
      </c>
      <c r="H34" s="12">
        <v>8</v>
      </c>
      <c r="I34" s="12">
        <v>8</v>
      </c>
      <c r="J34" s="14">
        <v>0</v>
      </c>
    </row>
    <row r="35" spans="1:15" x14ac:dyDescent="0.35">
      <c r="A35" s="79"/>
      <c r="B35" s="79"/>
      <c r="C35" s="99"/>
      <c r="D35" s="43" t="s">
        <v>120</v>
      </c>
      <c r="E35" s="12" t="s">
        <v>2</v>
      </c>
      <c r="F35" s="12">
        <v>128</v>
      </c>
      <c r="G35" s="12">
        <v>9</v>
      </c>
      <c r="H35" s="12">
        <v>0</v>
      </c>
      <c r="I35" s="12">
        <v>1</v>
      </c>
      <c r="J35" s="14">
        <v>0</v>
      </c>
    </row>
    <row r="36" spans="1:15" x14ac:dyDescent="0.35">
      <c r="A36" s="79"/>
      <c r="B36" s="79"/>
      <c r="C36" s="99"/>
      <c r="D36" s="43" t="s">
        <v>120</v>
      </c>
      <c r="E36" s="12" t="s">
        <v>3</v>
      </c>
      <c r="F36" s="12">
        <v>124</v>
      </c>
      <c r="G36" s="12">
        <v>24</v>
      </c>
      <c r="H36" s="12">
        <v>4</v>
      </c>
      <c r="I36" s="12">
        <v>8</v>
      </c>
      <c r="J36" s="12">
        <v>0</v>
      </c>
      <c r="K36" s="2">
        <f>SUM(F34:F36)</f>
        <v>446</v>
      </c>
      <c r="L36" s="2">
        <f t="shared" ref="L36:O36" si="5">SUM(G34:G36)</f>
        <v>78</v>
      </c>
      <c r="M36" s="2">
        <f t="shared" si="5"/>
        <v>12</v>
      </c>
      <c r="N36" s="2">
        <f t="shared" si="5"/>
        <v>17</v>
      </c>
      <c r="O36" s="2">
        <f t="shared" si="5"/>
        <v>0</v>
      </c>
    </row>
    <row r="37" spans="1:15" x14ac:dyDescent="0.35">
      <c r="A37" s="9" t="s">
        <v>559</v>
      </c>
      <c r="B37" s="9" t="s">
        <v>560</v>
      </c>
      <c r="C37" s="96">
        <v>2356</v>
      </c>
      <c r="D37" s="43" t="s">
        <v>121</v>
      </c>
      <c r="E37" s="12" t="s">
        <v>17</v>
      </c>
      <c r="F37" s="13">
        <v>141</v>
      </c>
      <c r="G37" s="13">
        <v>45</v>
      </c>
      <c r="H37" s="13">
        <v>1</v>
      </c>
      <c r="I37" s="13">
        <v>4</v>
      </c>
      <c r="J37" s="15">
        <v>0</v>
      </c>
    </row>
    <row r="38" spans="1:15" x14ac:dyDescent="0.35">
      <c r="A38" s="73"/>
      <c r="B38" s="73"/>
      <c r="C38" s="97"/>
      <c r="D38" s="43" t="s">
        <v>121</v>
      </c>
      <c r="E38" s="12" t="s">
        <v>2</v>
      </c>
      <c r="F38" s="13">
        <v>113</v>
      </c>
      <c r="G38" s="13">
        <v>24</v>
      </c>
      <c r="H38" s="13">
        <v>2</v>
      </c>
      <c r="I38" s="13">
        <v>4</v>
      </c>
      <c r="J38" s="15">
        <v>2</v>
      </c>
    </row>
    <row r="39" spans="1:15" x14ac:dyDescent="0.35">
      <c r="A39" s="73"/>
      <c r="B39" s="73"/>
      <c r="C39" s="97"/>
      <c r="D39" s="43" t="s">
        <v>121</v>
      </c>
      <c r="E39" s="12" t="s">
        <v>3</v>
      </c>
      <c r="F39" s="13">
        <v>182</v>
      </c>
      <c r="G39" s="13">
        <v>41</v>
      </c>
      <c r="H39" s="13">
        <v>2</v>
      </c>
      <c r="I39" s="13">
        <v>13</v>
      </c>
      <c r="J39" s="15">
        <v>4</v>
      </c>
    </row>
    <row r="40" spans="1:15" x14ac:dyDescent="0.35">
      <c r="A40" s="73"/>
      <c r="B40" s="73"/>
      <c r="C40" s="97"/>
      <c r="D40" s="43" t="s">
        <v>121</v>
      </c>
      <c r="E40" s="12" t="s">
        <v>4</v>
      </c>
      <c r="F40" s="13">
        <v>137</v>
      </c>
      <c r="G40" s="13">
        <v>42</v>
      </c>
      <c r="H40" s="13">
        <v>8</v>
      </c>
      <c r="I40" s="13">
        <v>6</v>
      </c>
      <c r="J40" s="15">
        <v>0</v>
      </c>
    </row>
    <row r="41" spans="1:15" x14ac:dyDescent="0.35">
      <c r="A41" s="73"/>
      <c r="B41" s="73"/>
      <c r="C41" s="97"/>
      <c r="D41" s="43" t="s">
        <v>121</v>
      </c>
      <c r="E41" s="12" t="s">
        <v>5</v>
      </c>
      <c r="F41" s="13">
        <v>110</v>
      </c>
      <c r="G41" s="13">
        <v>29</v>
      </c>
      <c r="H41" s="13">
        <v>1</v>
      </c>
      <c r="I41" s="13">
        <v>1</v>
      </c>
      <c r="J41" s="15">
        <v>1</v>
      </c>
    </row>
    <row r="42" spans="1:15" x14ac:dyDescent="0.35">
      <c r="A42" s="73"/>
      <c r="B42" s="73"/>
      <c r="C42" s="97"/>
      <c r="D42" s="43" t="s">
        <v>121</v>
      </c>
      <c r="E42" s="12" t="s">
        <v>6</v>
      </c>
      <c r="F42" s="13">
        <v>156</v>
      </c>
      <c r="G42" s="13">
        <v>30</v>
      </c>
      <c r="H42" s="15">
        <v>0</v>
      </c>
      <c r="I42" s="13">
        <v>3</v>
      </c>
      <c r="J42" s="15">
        <v>1</v>
      </c>
    </row>
    <row r="43" spans="1:15" x14ac:dyDescent="0.35">
      <c r="A43" s="73"/>
      <c r="B43" s="73"/>
      <c r="C43" s="97"/>
      <c r="D43" s="43" t="s">
        <v>121</v>
      </c>
      <c r="E43" s="12" t="s">
        <v>7</v>
      </c>
      <c r="F43" s="13">
        <v>128</v>
      </c>
      <c r="G43" s="13">
        <v>41</v>
      </c>
      <c r="H43" s="13">
        <v>4</v>
      </c>
      <c r="I43" s="13">
        <v>12</v>
      </c>
      <c r="J43" s="15">
        <v>1</v>
      </c>
      <c r="K43" s="2">
        <f>SUM(F37:F43)</f>
        <v>967</v>
      </c>
      <c r="L43" s="2">
        <f t="shared" ref="L43:O43" si="6">SUM(G37:G43)</f>
        <v>252</v>
      </c>
      <c r="M43" s="2">
        <f t="shared" si="6"/>
        <v>18</v>
      </c>
      <c r="N43" s="2">
        <f t="shared" si="6"/>
        <v>43</v>
      </c>
      <c r="O43" s="2">
        <f t="shared" si="6"/>
        <v>9</v>
      </c>
    </row>
    <row r="44" spans="1:15" x14ac:dyDescent="0.35">
      <c r="A44" s="4" t="s">
        <v>549</v>
      </c>
      <c r="B44" s="4" t="s">
        <v>550</v>
      </c>
      <c r="C44" s="98">
        <v>2986</v>
      </c>
      <c r="D44" s="43" t="s">
        <v>122</v>
      </c>
      <c r="E44" s="12" t="s">
        <v>17</v>
      </c>
      <c r="F44" s="12">
        <v>153</v>
      </c>
      <c r="G44" s="12">
        <v>85</v>
      </c>
      <c r="H44" s="12">
        <v>12</v>
      </c>
      <c r="I44" s="12">
        <v>11</v>
      </c>
      <c r="J44" s="14">
        <v>2</v>
      </c>
    </row>
    <row r="45" spans="1:15" x14ac:dyDescent="0.35">
      <c r="A45" s="79"/>
      <c r="B45" s="79"/>
      <c r="C45" s="99"/>
      <c r="D45" s="43" t="s">
        <v>122</v>
      </c>
      <c r="E45" s="12" t="s">
        <v>2</v>
      </c>
      <c r="F45" s="12">
        <v>154</v>
      </c>
      <c r="G45" s="12">
        <v>70</v>
      </c>
      <c r="H45" s="12">
        <v>4</v>
      </c>
      <c r="I45" s="12">
        <v>12</v>
      </c>
      <c r="J45" s="12">
        <v>0</v>
      </c>
    </row>
    <row r="46" spans="1:15" x14ac:dyDescent="0.35">
      <c r="A46" s="79"/>
      <c r="B46" s="79"/>
      <c r="C46" s="99"/>
      <c r="D46" s="43" t="s">
        <v>122</v>
      </c>
      <c r="E46" s="12" t="s">
        <v>3</v>
      </c>
      <c r="F46" s="12">
        <v>102</v>
      </c>
      <c r="G46" s="12">
        <v>29</v>
      </c>
      <c r="H46" s="12">
        <v>4</v>
      </c>
      <c r="I46" s="12">
        <v>4</v>
      </c>
      <c r="J46" s="14">
        <v>0</v>
      </c>
    </row>
    <row r="47" spans="1:15" x14ac:dyDescent="0.35">
      <c r="A47" s="79"/>
      <c r="B47" s="79"/>
      <c r="C47" s="99"/>
      <c r="D47" s="43" t="s">
        <v>122</v>
      </c>
      <c r="E47" s="12" t="s">
        <v>4</v>
      </c>
      <c r="F47" s="12">
        <v>47</v>
      </c>
      <c r="G47" s="12">
        <v>35</v>
      </c>
      <c r="H47" s="12">
        <v>3</v>
      </c>
      <c r="I47" s="12">
        <v>4</v>
      </c>
      <c r="J47" s="14">
        <v>0</v>
      </c>
    </row>
    <row r="48" spans="1:15" x14ac:dyDescent="0.35">
      <c r="A48" s="79"/>
      <c r="B48" s="79"/>
      <c r="C48" s="99"/>
      <c r="D48" s="43" t="s">
        <v>122</v>
      </c>
      <c r="E48" s="12" t="s">
        <v>5</v>
      </c>
      <c r="F48" s="12">
        <v>142</v>
      </c>
      <c r="G48" s="12">
        <v>77</v>
      </c>
      <c r="H48" s="12">
        <v>6</v>
      </c>
      <c r="I48" s="12">
        <v>11</v>
      </c>
      <c r="J48" s="14">
        <v>1</v>
      </c>
      <c r="K48" s="2">
        <f>SUM(F37:F48)</f>
        <v>1565</v>
      </c>
      <c r="L48" s="2">
        <f t="shared" ref="L48:O48" si="7">SUM(G37:G48)</f>
        <v>548</v>
      </c>
      <c r="M48" s="2">
        <f t="shared" si="7"/>
        <v>47</v>
      </c>
      <c r="N48" s="2">
        <f t="shared" si="7"/>
        <v>85</v>
      </c>
      <c r="O48" s="2">
        <f t="shared" si="7"/>
        <v>12</v>
      </c>
    </row>
    <row r="49" spans="1:15" x14ac:dyDescent="0.35">
      <c r="A49" s="9" t="s">
        <v>561</v>
      </c>
      <c r="B49" s="9" t="s">
        <v>562</v>
      </c>
      <c r="C49" s="96">
        <v>1162</v>
      </c>
      <c r="D49" s="43" t="s">
        <v>123</v>
      </c>
      <c r="E49" s="12" t="s">
        <v>17</v>
      </c>
      <c r="F49" s="13">
        <v>77</v>
      </c>
      <c r="G49" s="13">
        <v>14</v>
      </c>
      <c r="H49" s="13">
        <v>4</v>
      </c>
      <c r="I49" s="13">
        <v>3</v>
      </c>
      <c r="J49" s="15">
        <v>0</v>
      </c>
    </row>
    <row r="50" spans="1:15" x14ac:dyDescent="0.35">
      <c r="A50" s="73"/>
      <c r="B50" s="73"/>
      <c r="C50" s="97"/>
      <c r="D50" s="43" t="s">
        <v>123</v>
      </c>
      <c r="E50" s="12" t="s">
        <v>2</v>
      </c>
      <c r="F50" s="13">
        <v>174</v>
      </c>
      <c r="G50" s="13">
        <v>60</v>
      </c>
      <c r="H50" s="13">
        <v>3</v>
      </c>
      <c r="I50" s="13">
        <v>7</v>
      </c>
      <c r="J50" s="15">
        <v>1</v>
      </c>
    </row>
    <row r="51" spans="1:15" x14ac:dyDescent="0.35">
      <c r="A51" s="73"/>
      <c r="B51" s="73"/>
      <c r="C51" s="97"/>
      <c r="D51" s="43" t="s">
        <v>123</v>
      </c>
      <c r="E51" s="12" t="s">
        <v>3</v>
      </c>
      <c r="F51" s="13">
        <v>59</v>
      </c>
      <c r="G51" s="13">
        <v>19</v>
      </c>
      <c r="H51" s="13">
        <v>3</v>
      </c>
      <c r="I51" s="13">
        <v>5</v>
      </c>
      <c r="J51" s="15">
        <v>0</v>
      </c>
    </row>
    <row r="52" spans="1:15" x14ac:dyDescent="0.35">
      <c r="A52" s="73"/>
      <c r="B52" s="73"/>
      <c r="C52" s="97"/>
      <c r="D52" s="43" t="s">
        <v>123</v>
      </c>
      <c r="E52" s="12" t="s">
        <v>4</v>
      </c>
      <c r="F52" s="13">
        <v>97</v>
      </c>
      <c r="G52" s="13">
        <v>38</v>
      </c>
      <c r="H52" s="13">
        <v>2</v>
      </c>
      <c r="I52" s="13">
        <v>3</v>
      </c>
      <c r="J52" s="15">
        <v>1</v>
      </c>
      <c r="K52" s="2">
        <f>SUM(F49:F52)</f>
        <v>407</v>
      </c>
      <c r="L52" s="2">
        <f t="shared" ref="L52:O52" si="8">SUM(G49:G52)</f>
        <v>131</v>
      </c>
      <c r="M52" s="2">
        <f t="shared" si="8"/>
        <v>12</v>
      </c>
      <c r="N52" s="2">
        <f t="shared" si="8"/>
        <v>18</v>
      </c>
      <c r="O52" s="2">
        <f t="shared" si="8"/>
        <v>2</v>
      </c>
    </row>
    <row r="53" spans="1:15" x14ac:dyDescent="0.35">
      <c r="A53" s="4" t="s">
        <v>563</v>
      </c>
      <c r="B53" s="4" t="s">
        <v>564</v>
      </c>
      <c r="C53" s="98">
        <v>1960</v>
      </c>
      <c r="D53" s="43" t="s">
        <v>124</v>
      </c>
      <c r="E53" s="12" t="s">
        <v>17</v>
      </c>
      <c r="F53" s="12">
        <v>129</v>
      </c>
      <c r="G53" s="12">
        <v>33</v>
      </c>
      <c r="H53" s="12">
        <v>3</v>
      </c>
      <c r="I53" s="12">
        <v>1</v>
      </c>
      <c r="J53" s="12">
        <v>1</v>
      </c>
    </row>
    <row r="54" spans="1:15" x14ac:dyDescent="0.35">
      <c r="A54" s="79"/>
      <c r="B54" s="79"/>
      <c r="C54" s="99"/>
      <c r="D54" s="43" t="s">
        <v>124</v>
      </c>
      <c r="E54" s="12" t="s">
        <v>2</v>
      </c>
      <c r="F54" s="12">
        <v>274</v>
      </c>
      <c r="G54" s="12">
        <v>73</v>
      </c>
      <c r="H54" s="14">
        <v>0</v>
      </c>
      <c r="I54" s="12">
        <v>9</v>
      </c>
      <c r="J54" s="14">
        <v>3</v>
      </c>
    </row>
    <row r="55" spans="1:15" x14ac:dyDescent="0.35">
      <c r="A55" s="79"/>
      <c r="B55" s="79"/>
      <c r="C55" s="99"/>
      <c r="D55" s="43" t="s">
        <v>124</v>
      </c>
      <c r="E55" s="12" t="s">
        <v>3</v>
      </c>
      <c r="F55" s="12">
        <v>156</v>
      </c>
      <c r="G55" s="12">
        <v>18</v>
      </c>
      <c r="H55" s="14">
        <v>0</v>
      </c>
      <c r="I55" s="12">
        <v>3</v>
      </c>
      <c r="J55" s="14">
        <v>0</v>
      </c>
    </row>
    <row r="56" spans="1:15" x14ac:dyDescent="0.35">
      <c r="A56" s="79"/>
      <c r="B56" s="79"/>
      <c r="C56" s="99"/>
      <c r="D56" s="43" t="s">
        <v>124</v>
      </c>
      <c r="E56" s="12" t="s">
        <v>4</v>
      </c>
      <c r="F56" s="12">
        <v>108</v>
      </c>
      <c r="G56" s="12">
        <v>49</v>
      </c>
      <c r="H56" s="12">
        <v>7</v>
      </c>
      <c r="I56" s="12">
        <v>8</v>
      </c>
      <c r="J56" s="14">
        <v>0</v>
      </c>
    </row>
    <row r="57" spans="1:15" x14ac:dyDescent="0.35">
      <c r="A57" s="79"/>
      <c r="B57" s="79"/>
      <c r="C57" s="99"/>
      <c r="D57" s="43" t="s">
        <v>124</v>
      </c>
      <c r="E57" s="12" t="s">
        <v>5</v>
      </c>
      <c r="F57" s="12">
        <v>110</v>
      </c>
      <c r="G57" s="12">
        <v>17</v>
      </c>
      <c r="H57" s="12">
        <v>3</v>
      </c>
      <c r="I57" s="12">
        <v>5</v>
      </c>
      <c r="J57" s="14">
        <v>0</v>
      </c>
      <c r="K57" s="2">
        <f>SUM(F53:F57)</f>
        <v>777</v>
      </c>
      <c r="L57" s="2">
        <f t="shared" ref="L57:O57" si="9">SUM(G53:G57)</f>
        <v>190</v>
      </c>
      <c r="M57" s="2">
        <f t="shared" si="9"/>
        <v>13</v>
      </c>
      <c r="N57" s="2">
        <f t="shared" si="9"/>
        <v>26</v>
      </c>
      <c r="O57" s="2">
        <f t="shared" si="9"/>
        <v>4</v>
      </c>
    </row>
    <row r="58" spans="1:15" x14ac:dyDescent="0.35">
      <c r="A58" s="9" t="s">
        <v>565</v>
      </c>
      <c r="B58" s="9" t="s">
        <v>370</v>
      </c>
      <c r="C58" s="96">
        <v>990</v>
      </c>
      <c r="D58" s="43" t="s">
        <v>76</v>
      </c>
      <c r="E58" s="12" t="s">
        <v>17</v>
      </c>
      <c r="F58" s="13">
        <v>172</v>
      </c>
      <c r="G58" s="13">
        <v>36</v>
      </c>
      <c r="H58" s="13">
        <v>2</v>
      </c>
      <c r="I58" s="13">
        <v>2</v>
      </c>
      <c r="J58" s="15">
        <v>0</v>
      </c>
    </row>
    <row r="59" spans="1:15" x14ac:dyDescent="0.35">
      <c r="A59" s="73"/>
      <c r="B59" s="73"/>
      <c r="C59" s="97"/>
      <c r="D59" s="43" t="s">
        <v>76</v>
      </c>
      <c r="E59" s="12" t="s">
        <v>2</v>
      </c>
      <c r="F59" s="13">
        <v>79</v>
      </c>
      <c r="G59" s="13">
        <v>4</v>
      </c>
      <c r="H59" s="13">
        <v>2</v>
      </c>
      <c r="I59" s="13">
        <v>2</v>
      </c>
      <c r="J59" s="15">
        <v>0</v>
      </c>
    </row>
    <row r="60" spans="1:15" x14ac:dyDescent="0.35">
      <c r="A60" s="73"/>
      <c r="B60" s="73"/>
      <c r="C60" s="97"/>
      <c r="D60" s="43" t="s">
        <v>76</v>
      </c>
      <c r="E60" s="12" t="s">
        <v>3</v>
      </c>
      <c r="F60" s="13">
        <v>78</v>
      </c>
      <c r="G60" s="13">
        <v>25</v>
      </c>
      <c r="H60" s="13">
        <v>2</v>
      </c>
      <c r="I60" s="13">
        <v>3</v>
      </c>
      <c r="J60" s="15">
        <v>0</v>
      </c>
    </row>
    <row r="61" spans="1:15" x14ac:dyDescent="0.35">
      <c r="A61" s="73"/>
      <c r="B61" s="73"/>
      <c r="C61" s="97"/>
      <c r="D61" s="43" t="s">
        <v>76</v>
      </c>
      <c r="E61" s="12" t="s">
        <v>4</v>
      </c>
      <c r="F61" s="13">
        <v>116</v>
      </c>
      <c r="G61" s="13">
        <v>17</v>
      </c>
      <c r="H61" s="13">
        <v>3</v>
      </c>
      <c r="I61" s="13">
        <v>1</v>
      </c>
      <c r="J61" s="15">
        <v>0</v>
      </c>
      <c r="K61" s="2">
        <f>SUM(F58:F61)</f>
        <v>445</v>
      </c>
      <c r="L61" s="2">
        <f t="shared" ref="L61:O61" si="10">SUM(G58:G61)</f>
        <v>82</v>
      </c>
      <c r="M61" s="2">
        <f t="shared" si="10"/>
        <v>9</v>
      </c>
      <c r="N61" s="2">
        <f t="shared" si="10"/>
        <v>8</v>
      </c>
      <c r="O61" s="2">
        <f t="shared" si="10"/>
        <v>0</v>
      </c>
    </row>
    <row r="62" spans="1:15" x14ac:dyDescent="0.35">
      <c r="A62" s="4" t="s">
        <v>566</v>
      </c>
      <c r="B62" s="4" t="s">
        <v>567</v>
      </c>
      <c r="C62" s="98">
        <v>1676</v>
      </c>
      <c r="D62" s="43" t="s">
        <v>125</v>
      </c>
      <c r="E62" s="12" t="s">
        <v>17</v>
      </c>
      <c r="F62" s="12">
        <v>148</v>
      </c>
      <c r="G62" s="12">
        <v>95</v>
      </c>
      <c r="H62" s="12">
        <v>2</v>
      </c>
      <c r="I62" s="12">
        <v>14</v>
      </c>
      <c r="J62" s="14">
        <v>1</v>
      </c>
    </row>
    <row r="63" spans="1:15" x14ac:dyDescent="0.35">
      <c r="A63" s="79"/>
      <c r="B63" s="79"/>
      <c r="C63" s="99"/>
      <c r="D63" s="43" t="s">
        <v>125</v>
      </c>
      <c r="E63" s="12" t="s">
        <v>2</v>
      </c>
      <c r="F63" s="12">
        <v>72</v>
      </c>
      <c r="G63" s="12">
        <v>28</v>
      </c>
      <c r="H63" s="12">
        <v>3</v>
      </c>
      <c r="I63" s="12">
        <v>1</v>
      </c>
      <c r="J63" s="14">
        <v>0</v>
      </c>
    </row>
    <row r="64" spans="1:15" x14ac:dyDescent="0.35">
      <c r="A64" s="79"/>
      <c r="B64" s="79"/>
      <c r="C64" s="99"/>
      <c r="D64" s="43" t="s">
        <v>125</v>
      </c>
      <c r="E64" s="12" t="s">
        <v>3</v>
      </c>
      <c r="F64" s="12">
        <v>112</v>
      </c>
      <c r="G64" s="12">
        <v>31</v>
      </c>
      <c r="H64" s="12">
        <v>5</v>
      </c>
      <c r="I64" s="12">
        <v>4</v>
      </c>
      <c r="J64" s="14">
        <v>1</v>
      </c>
    </row>
    <row r="65" spans="1:15" x14ac:dyDescent="0.35">
      <c r="A65" s="79"/>
      <c r="B65" s="79"/>
      <c r="C65" s="99"/>
      <c r="D65" s="43" t="s">
        <v>125</v>
      </c>
      <c r="E65" s="12" t="s">
        <v>4</v>
      </c>
      <c r="F65" s="12">
        <v>165</v>
      </c>
      <c r="G65" s="12">
        <v>75</v>
      </c>
      <c r="H65" s="12">
        <v>13</v>
      </c>
      <c r="I65" s="12">
        <v>10</v>
      </c>
      <c r="J65" s="14">
        <v>1</v>
      </c>
    </row>
    <row r="66" spans="1:15" x14ac:dyDescent="0.35">
      <c r="A66" s="79"/>
      <c r="B66" s="79"/>
      <c r="C66" s="99"/>
      <c r="D66" s="43" t="s">
        <v>125</v>
      </c>
      <c r="E66" s="12" t="s">
        <v>5</v>
      </c>
      <c r="F66" s="12">
        <v>244</v>
      </c>
      <c r="G66" s="12">
        <v>174</v>
      </c>
      <c r="H66" s="12">
        <v>16</v>
      </c>
      <c r="I66" s="12">
        <v>17</v>
      </c>
      <c r="J66" s="12">
        <v>3</v>
      </c>
      <c r="K66" s="2">
        <f>SUM(F62:F66)</f>
        <v>741</v>
      </c>
      <c r="L66" s="2">
        <f t="shared" ref="L66:O66" si="11">SUM(G62:G66)</f>
        <v>403</v>
      </c>
      <c r="M66" s="2">
        <f t="shared" si="11"/>
        <v>39</v>
      </c>
      <c r="N66" s="2">
        <f t="shared" si="11"/>
        <v>46</v>
      </c>
      <c r="O66" s="2">
        <f t="shared" si="11"/>
        <v>6</v>
      </c>
    </row>
    <row r="67" spans="1:15" x14ac:dyDescent="0.35">
      <c r="A67" s="9" t="s">
        <v>568</v>
      </c>
      <c r="B67" s="9" t="s">
        <v>569</v>
      </c>
      <c r="C67" s="96">
        <v>1313</v>
      </c>
      <c r="D67" s="43" t="s">
        <v>126</v>
      </c>
      <c r="E67" s="12" t="s">
        <v>17</v>
      </c>
      <c r="F67" s="13">
        <v>40</v>
      </c>
      <c r="G67" s="13">
        <v>22</v>
      </c>
      <c r="H67" s="15">
        <v>0</v>
      </c>
      <c r="I67" s="13">
        <v>4</v>
      </c>
      <c r="J67" s="15">
        <v>0</v>
      </c>
    </row>
    <row r="68" spans="1:15" x14ac:dyDescent="0.35">
      <c r="A68" s="73"/>
      <c r="B68" s="73"/>
      <c r="C68" s="97"/>
      <c r="D68" s="43" t="s">
        <v>126</v>
      </c>
      <c r="E68" s="12" t="s">
        <v>2</v>
      </c>
      <c r="F68" s="13">
        <v>142</v>
      </c>
      <c r="G68" s="13">
        <v>15</v>
      </c>
      <c r="H68" s="13">
        <v>4</v>
      </c>
      <c r="I68" s="13">
        <v>7</v>
      </c>
      <c r="J68" s="15">
        <v>2</v>
      </c>
    </row>
    <row r="69" spans="1:15" x14ac:dyDescent="0.35">
      <c r="A69" s="73"/>
      <c r="B69" s="73"/>
      <c r="C69" s="97"/>
      <c r="D69" s="43" t="s">
        <v>126</v>
      </c>
      <c r="E69" s="12" t="s">
        <v>3</v>
      </c>
      <c r="F69" s="13">
        <v>116</v>
      </c>
      <c r="G69" s="13">
        <v>66</v>
      </c>
      <c r="H69" s="13">
        <v>6</v>
      </c>
      <c r="I69" s="13">
        <v>3</v>
      </c>
      <c r="J69" s="13">
        <v>1</v>
      </c>
    </row>
    <row r="70" spans="1:15" x14ac:dyDescent="0.35">
      <c r="A70" s="73"/>
      <c r="B70" s="73"/>
      <c r="C70" s="97"/>
      <c r="D70" s="43" t="s">
        <v>126</v>
      </c>
      <c r="E70" s="12" t="s">
        <v>4</v>
      </c>
      <c r="F70" s="13">
        <v>139</v>
      </c>
      <c r="G70" s="13">
        <v>30</v>
      </c>
      <c r="H70" s="13">
        <v>2</v>
      </c>
      <c r="I70" s="13">
        <v>4</v>
      </c>
      <c r="J70" s="15">
        <v>0</v>
      </c>
    </row>
    <row r="71" spans="1:15" x14ac:dyDescent="0.35">
      <c r="A71" s="73"/>
      <c r="B71" s="73"/>
      <c r="C71" s="97"/>
      <c r="D71" s="43" t="s">
        <v>126</v>
      </c>
      <c r="E71" s="12" t="s">
        <v>5</v>
      </c>
      <c r="F71" s="13">
        <v>120</v>
      </c>
      <c r="G71" s="13">
        <v>16</v>
      </c>
      <c r="H71" s="13">
        <v>1</v>
      </c>
      <c r="I71" s="13">
        <v>3</v>
      </c>
      <c r="J71" s="15">
        <v>0</v>
      </c>
      <c r="K71" s="2">
        <f>SUM(F67:F71)</f>
        <v>557</v>
      </c>
      <c r="L71" s="2">
        <f t="shared" ref="L71:O71" si="12">SUM(G67:G71)</f>
        <v>149</v>
      </c>
      <c r="M71" s="2">
        <f t="shared" si="12"/>
        <v>13</v>
      </c>
      <c r="N71" s="2">
        <f t="shared" si="12"/>
        <v>21</v>
      </c>
      <c r="O71" s="2">
        <f t="shared" si="12"/>
        <v>3</v>
      </c>
    </row>
    <row r="72" spans="1:15" x14ac:dyDescent="0.35">
      <c r="A72" s="4" t="s">
        <v>326</v>
      </c>
      <c r="B72" s="4" t="s">
        <v>327</v>
      </c>
      <c r="C72" s="98">
        <v>2292</v>
      </c>
      <c r="D72" s="43" t="s">
        <v>127</v>
      </c>
      <c r="E72" s="12" t="s">
        <v>17</v>
      </c>
      <c r="F72" s="12">
        <v>35</v>
      </c>
      <c r="G72" s="12">
        <v>12</v>
      </c>
      <c r="H72" s="14">
        <v>0</v>
      </c>
      <c r="I72" s="12">
        <v>2</v>
      </c>
      <c r="J72" s="14">
        <v>0</v>
      </c>
    </row>
    <row r="73" spans="1:15" x14ac:dyDescent="0.35">
      <c r="A73" s="79"/>
      <c r="B73" s="79"/>
      <c r="C73" s="99"/>
      <c r="D73" s="43" t="s">
        <v>127</v>
      </c>
      <c r="E73" s="12" t="s">
        <v>2</v>
      </c>
      <c r="F73" s="12">
        <v>72</v>
      </c>
      <c r="G73" s="12">
        <v>13</v>
      </c>
      <c r="H73" s="12">
        <v>0</v>
      </c>
      <c r="I73" s="12">
        <v>2</v>
      </c>
      <c r="J73" s="14">
        <v>0</v>
      </c>
    </row>
    <row r="74" spans="1:15" x14ac:dyDescent="0.35">
      <c r="A74" s="79"/>
      <c r="B74" s="79"/>
      <c r="C74" s="99"/>
      <c r="D74" s="43" t="s">
        <v>127</v>
      </c>
      <c r="E74" s="12" t="s">
        <v>3</v>
      </c>
      <c r="F74" s="12">
        <v>109</v>
      </c>
      <c r="G74" s="12">
        <v>39</v>
      </c>
      <c r="H74" s="12">
        <v>3</v>
      </c>
      <c r="I74" s="12">
        <v>1</v>
      </c>
      <c r="J74" s="14">
        <v>2</v>
      </c>
    </row>
    <row r="75" spans="1:15" x14ac:dyDescent="0.35">
      <c r="A75" s="79"/>
      <c r="B75" s="79"/>
      <c r="C75" s="99"/>
      <c r="D75" s="43" t="s">
        <v>127</v>
      </c>
      <c r="E75" s="12" t="s">
        <v>4</v>
      </c>
      <c r="F75" s="12">
        <v>84</v>
      </c>
      <c r="G75" s="12">
        <v>19</v>
      </c>
      <c r="H75" s="12">
        <v>2</v>
      </c>
      <c r="I75" s="12">
        <v>2</v>
      </c>
      <c r="J75" s="14">
        <v>0</v>
      </c>
    </row>
    <row r="76" spans="1:15" x14ac:dyDescent="0.35">
      <c r="A76" s="79"/>
      <c r="B76" s="79"/>
      <c r="C76" s="99"/>
      <c r="D76" s="43" t="s">
        <v>127</v>
      </c>
      <c r="E76" s="12" t="s">
        <v>5</v>
      </c>
      <c r="F76" s="12">
        <v>130</v>
      </c>
      <c r="G76" s="12">
        <v>33</v>
      </c>
      <c r="H76" s="12">
        <v>9</v>
      </c>
      <c r="I76" s="12">
        <v>4</v>
      </c>
      <c r="J76" s="14">
        <v>0</v>
      </c>
    </row>
    <row r="77" spans="1:15" x14ac:dyDescent="0.35">
      <c r="A77" s="79"/>
      <c r="B77" s="79"/>
      <c r="C77" s="99"/>
      <c r="D77" s="43" t="s">
        <v>127</v>
      </c>
      <c r="E77" s="12" t="s">
        <v>6</v>
      </c>
      <c r="F77" s="12">
        <v>72</v>
      </c>
      <c r="G77" s="12">
        <v>24</v>
      </c>
      <c r="H77" s="12">
        <v>3</v>
      </c>
      <c r="I77" s="12">
        <v>4</v>
      </c>
      <c r="J77" s="14">
        <v>0</v>
      </c>
    </row>
    <row r="78" spans="1:15" x14ac:dyDescent="0.35">
      <c r="A78" s="79"/>
      <c r="B78" s="79"/>
      <c r="C78" s="99"/>
      <c r="D78" s="43" t="s">
        <v>127</v>
      </c>
      <c r="E78" s="12" t="s">
        <v>7</v>
      </c>
      <c r="F78" s="12">
        <v>184</v>
      </c>
      <c r="G78" s="12">
        <v>34</v>
      </c>
      <c r="H78" s="12">
        <v>4</v>
      </c>
      <c r="I78" s="12">
        <v>8</v>
      </c>
      <c r="J78" s="14">
        <v>0</v>
      </c>
    </row>
    <row r="79" spans="1:15" x14ac:dyDescent="0.35">
      <c r="A79" s="79"/>
      <c r="B79" s="79"/>
      <c r="C79" s="99"/>
      <c r="D79" s="43" t="s">
        <v>127</v>
      </c>
      <c r="E79" s="12" t="s">
        <v>8</v>
      </c>
      <c r="F79" s="12">
        <v>156</v>
      </c>
      <c r="G79" s="12">
        <v>63</v>
      </c>
      <c r="H79" s="12">
        <v>4</v>
      </c>
      <c r="I79" s="12">
        <v>12</v>
      </c>
      <c r="J79" s="14">
        <v>0</v>
      </c>
      <c r="K79" s="2">
        <f>SUM(F72:F79)</f>
        <v>842</v>
      </c>
      <c r="L79" s="2">
        <f t="shared" ref="L79:O79" si="13">SUM(G72:G79)</f>
        <v>237</v>
      </c>
      <c r="M79" s="2">
        <f t="shared" si="13"/>
        <v>25</v>
      </c>
      <c r="N79" s="2">
        <f t="shared" si="13"/>
        <v>35</v>
      </c>
      <c r="O79" s="2">
        <f t="shared" si="13"/>
        <v>2</v>
      </c>
    </row>
    <row r="80" spans="1:15" x14ac:dyDescent="0.35">
      <c r="A80" s="9" t="s">
        <v>328</v>
      </c>
      <c r="B80" s="9" t="s">
        <v>329</v>
      </c>
      <c r="C80" s="96">
        <v>1531</v>
      </c>
      <c r="D80" s="43" t="s">
        <v>128</v>
      </c>
      <c r="E80" s="12" t="s">
        <v>17</v>
      </c>
      <c r="F80" s="13">
        <v>58</v>
      </c>
      <c r="G80" s="13">
        <v>16</v>
      </c>
      <c r="H80" s="13">
        <v>2</v>
      </c>
      <c r="I80" s="13">
        <v>4</v>
      </c>
      <c r="J80" s="15">
        <v>2</v>
      </c>
    </row>
    <row r="81" spans="1:15" x14ac:dyDescent="0.35">
      <c r="A81" s="73"/>
      <c r="B81" s="73"/>
      <c r="C81" s="97"/>
      <c r="D81" s="43" t="s">
        <v>128</v>
      </c>
      <c r="E81" s="12" t="s">
        <v>2</v>
      </c>
      <c r="F81" s="13">
        <v>15</v>
      </c>
      <c r="G81" s="13">
        <v>8</v>
      </c>
      <c r="H81" s="15">
        <v>0</v>
      </c>
      <c r="I81" s="13">
        <v>2</v>
      </c>
      <c r="J81" s="15">
        <v>0</v>
      </c>
    </row>
    <row r="82" spans="1:15" x14ac:dyDescent="0.35">
      <c r="A82" s="73"/>
      <c r="B82" s="73"/>
      <c r="C82" s="97"/>
      <c r="D82" s="43" t="s">
        <v>128</v>
      </c>
      <c r="E82" s="12" t="s">
        <v>3</v>
      </c>
      <c r="F82" s="13">
        <v>39</v>
      </c>
      <c r="G82" s="13">
        <v>17</v>
      </c>
      <c r="H82" s="13">
        <v>1</v>
      </c>
      <c r="I82" s="13">
        <v>1</v>
      </c>
      <c r="J82" s="15">
        <v>0</v>
      </c>
    </row>
    <row r="83" spans="1:15" x14ac:dyDescent="0.35">
      <c r="A83" s="73"/>
      <c r="B83" s="73"/>
      <c r="C83" s="97"/>
      <c r="D83" s="43" t="s">
        <v>128</v>
      </c>
      <c r="E83" s="12" t="s">
        <v>4</v>
      </c>
      <c r="F83" s="13">
        <v>73</v>
      </c>
      <c r="G83" s="13">
        <v>30</v>
      </c>
      <c r="H83" s="13">
        <v>7</v>
      </c>
      <c r="I83" s="13">
        <v>11</v>
      </c>
      <c r="J83" s="13">
        <v>1</v>
      </c>
    </row>
    <row r="84" spans="1:15" x14ac:dyDescent="0.35">
      <c r="A84" s="73"/>
      <c r="B84" s="73"/>
      <c r="C84" s="97"/>
      <c r="D84" s="43" t="s">
        <v>128</v>
      </c>
      <c r="E84" s="12" t="s">
        <v>5</v>
      </c>
      <c r="F84" s="13">
        <v>182</v>
      </c>
      <c r="G84" s="13">
        <v>14</v>
      </c>
      <c r="H84" s="13">
        <v>4</v>
      </c>
      <c r="I84" s="13">
        <v>4</v>
      </c>
      <c r="J84" s="15">
        <v>1</v>
      </c>
    </row>
    <row r="85" spans="1:15" x14ac:dyDescent="0.35">
      <c r="A85" s="73"/>
      <c r="B85" s="73"/>
      <c r="C85" s="97"/>
      <c r="D85" s="43" t="s">
        <v>128</v>
      </c>
      <c r="E85" s="12" t="s">
        <v>6</v>
      </c>
      <c r="F85" s="13">
        <v>62</v>
      </c>
      <c r="G85" s="13">
        <v>11</v>
      </c>
      <c r="H85" s="13">
        <v>1</v>
      </c>
      <c r="I85" s="13">
        <v>5</v>
      </c>
      <c r="J85" s="15">
        <v>1</v>
      </c>
    </row>
    <row r="86" spans="1:15" x14ac:dyDescent="0.35">
      <c r="A86" s="73"/>
      <c r="B86" s="73"/>
      <c r="C86" s="97"/>
      <c r="D86" s="43" t="s">
        <v>128</v>
      </c>
      <c r="E86" s="12" t="s">
        <v>7</v>
      </c>
      <c r="F86" s="13">
        <v>50</v>
      </c>
      <c r="G86" s="13">
        <v>28</v>
      </c>
      <c r="H86" s="13">
        <v>8</v>
      </c>
      <c r="I86" s="13">
        <v>4</v>
      </c>
      <c r="J86" s="15">
        <v>1</v>
      </c>
    </row>
    <row r="87" spans="1:15" x14ac:dyDescent="0.35">
      <c r="A87" s="73"/>
      <c r="B87" s="73"/>
      <c r="C87" s="97"/>
      <c r="D87" s="43" t="s">
        <v>128</v>
      </c>
      <c r="E87" s="12" t="s">
        <v>8</v>
      </c>
      <c r="F87" s="13">
        <v>138</v>
      </c>
      <c r="G87" s="13">
        <v>33</v>
      </c>
      <c r="H87" s="13">
        <v>3</v>
      </c>
      <c r="I87" s="13">
        <v>7</v>
      </c>
      <c r="J87" s="15">
        <v>0</v>
      </c>
    </row>
    <row r="88" spans="1:15" x14ac:dyDescent="0.35">
      <c r="A88" s="73"/>
      <c r="B88" s="73"/>
      <c r="C88" s="97"/>
      <c r="D88" s="43" t="s">
        <v>128</v>
      </c>
      <c r="E88" s="12" t="s">
        <v>9</v>
      </c>
      <c r="F88" s="13">
        <v>82</v>
      </c>
      <c r="G88" s="13">
        <v>28</v>
      </c>
      <c r="H88" s="13">
        <v>4</v>
      </c>
      <c r="I88" s="13">
        <v>5</v>
      </c>
      <c r="J88" s="15">
        <v>1</v>
      </c>
    </row>
    <row r="89" spans="1:15" x14ac:dyDescent="0.35">
      <c r="A89" s="73"/>
      <c r="B89" s="73"/>
      <c r="C89" s="97"/>
      <c r="D89" s="43" t="s">
        <v>128</v>
      </c>
      <c r="E89" s="12" t="s">
        <v>11</v>
      </c>
      <c r="F89" s="13">
        <v>39</v>
      </c>
      <c r="G89" s="13">
        <v>16</v>
      </c>
      <c r="H89" s="13">
        <v>1</v>
      </c>
      <c r="I89" s="13">
        <v>1</v>
      </c>
      <c r="J89" s="15">
        <v>0</v>
      </c>
    </row>
    <row r="90" spans="1:15" x14ac:dyDescent="0.35">
      <c r="A90" s="73"/>
      <c r="B90" s="73"/>
      <c r="C90" s="97"/>
      <c r="D90" s="43" t="s">
        <v>128</v>
      </c>
      <c r="E90" s="12" t="s">
        <v>12</v>
      </c>
      <c r="F90" s="13">
        <v>6</v>
      </c>
      <c r="G90" s="13">
        <v>12</v>
      </c>
      <c r="H90" s="13">
        <v>3</v>
      </c>
      <c r="I90" s="13">
        <v>2</v>
      </c>
      <c r="J90" s="15">
        <v>0</v>
      </c>
    </row>
    <row r="91" spans="1:15" x14ac:dyDescent="0.35">
      <c r="A91" s="73"/>
      <c r="B91" s="73"/>
      <c r="C91" s="97"/>
      <c r="D91" s="43" t="s">
        <v>128</v>
      </c>
      <c r="E91" s="12" t="s">
        <v>13</v>
      </c>
      <c r="F91" s="13">
        <v>46</v>
      </c>
      <c r="G91" s="13">
        <v>28</v>
      </c>
      <c r="H91" s="13">
        <v>6</v>
      </c>
      <c r="I91" s="13">
        <v>8</v>
      </c>
      <c r="J91" s="15">
        <v>0</v>
      </c>
      <c r="K91" s="2">
        <f>SUM(F80:F91)</f>
        <v>790</v>
      </c>
      <c r="L91" s="2">
        <f t="shared" ref="L91:O91" si="14">SUM(G80:G91)</f>
        <v>241</v>
      </c>
      <c r="M91" s="2">
        <f t="shared" si="14"/>
        <v>40</v>
      </c>
      <c r="N91" s="2">
        <f t="shared" si="14"/>
        <v>54</v>
      </c>
      <c r="O91" s="2">
        <f t="shared" si="14"/>
        <v>7</v>
      </c>
    </row>
    <row r="92" spans="1:15" x14ac:dyDescent="0.35">
      <c r="A92" s="4" t="s">
        <v>570</v>
      </c>
      <c r="B92" s="4" t="s">
        <v>571</v>
      </c>
      <c r="C92" s="98">
        <v>585</v>
      </c>
      <c r="D92" s="43" t="s">
        <v>129</v>
      </c>
      <c r="E92" s="12" t="s">
        <v>17</v>
      </c>
      <c r="F92" s="12">
        <v>91</v>
      </c>
      <c r="G92" s="12">
        <v>22</v>
      </c>
      <c r="H92" s="14">
        <v>0</v>
      </c>
      <c r="I92" s="12">
        <v>1</v>
      </c>
      <c r="J92" s="14">
        <v>2</v>
      </c>
    </row>
    <row r="93" spans="1:15" x14ac:dyDescent="0.35">
      <c r="A93" s="79"/>
      <c r="B93" s="79"/>
      <c r="C93" s="99"/>
      <c r="D93" s="43" t="s">
        <v>129</v>
      </c>
      <c r="E93" s="12" t="s">
        <v>2</v>
      </c>
      <c r="F93" s="12">
        <v>87</v>
      </c>
      <c r="G93" s="12">
        <v>15</v>
      </c>
      <c r="H93" s="12">
        <v>2</v>
      </c>
      <c r="I93" s="12">
        <v>5</v>
      </c>
      <c r="J93" s="14">
        <v>0</v>
      </c>
    </row>
    <row r="94" spans="1:15" x14ac:dyDescent="0.35">
      <c r="A94" s="79"/>
      <c r="B94" s="79"/>
      <c r="C94" s="99"/>
      <c r="D94" s="43" t="s">
        <v>129</v>
      </c>
      <c r="E94" s="12" t="s">
        <v>3</v>
      </c>
      <c r="F94" s="12">
        <v>79</v>
      </c>
      <c r="G94" s="12">
        <v>22</v>
      </c>
      <c r="H94" s="14">
        <v>0</v>
      </c>
      <c r="I94" s="12">
        <v>4</v>
      </c>
      <c r="J94" s="14">
        <v>0</v>
      </c>
      <c r="K94" s="2">
        <f>SUM(F92:F94)</f>
        <v>257</v>
      </c>
      <c r="L94" s="2">
        <f t="shared" ref="L94:O94" si="15">SUM(G92:G94)</f>
        <v>59</v>
      </c>
      <c r="M94" s="2">
        <f t="shared" si="15"/>
        <v>2</v>
      </c>
      <c r="N94" s="2">
        <f t="shared" si="15"/>
        <v>10</v>
      </c>
      <c r="O94" s="2">
        <f t="shared" si="15"/>
        <v>2</v>
      </c>
    </row>
    <row r="95" spans="1:15" x14ac:dyDescent="0.35">
      <c r="A95" s="9" t="s">
        <v>572</v>
      </c>
      <c r="B95" s="9" t="s">
        <v>573</v>
      </c>
      <c r="C95" s="96">
        <v>1287</v>
      </c>
      <c r="D95" s="43" t="s">
        <v>130</v>
      </c>
      <c r="E95" s="12" t="s">
        <v>17</v>
      </c>
      <c r="F95" s="13">
        <v>105</v>
      </c>
      <c r="G95" s="13">
        <v>43</v>
      </c>
      <c r="H95" s="15">
        <v>0</v>
      </c>
      <c r="I95" s="13">
        <v>5</v>
      </c>
      <c r="J95" s="15">
        <v>0</v>
      </c>
    </row>
    <row r="96" spans="1:15" x14ac:dyDescent="0.35">
      <c r="A96" s="73"/>
      <c r="B96" s="73"/>
      <c r="C96" s="97"/>
      <c r="D96" s="43" t="s">
        <v>130</v>
      </c>
      <c r="E96" s="12" t="s">
        <v>2</v>
      </c>
      <c r="F96" s="13">
        <v>84</v>
      </c>
      <c r="G96" s="13">
        <v>32</v>
      </c>
      <c r="H96" s="13">
        <v>3</v>
      </c>
      <c r="I96" s="13">
        <v>4</v>
      </c>
      <c r="J96" s="15">
        <v>0</v>
      </c>
    </row>
    <row r="97" spans="1:15" x14ac:dyDescent="0.35">
      <c r="A97" s="73"/>
      <c r="B97" s="73"/>
      <c r="C97" s="97"/>
      <c r="D97" s="43" t="s">
        <v>130</v>
      </c>
      <c r="E97" s="12" t="s">
        <v>3</v>
      </c>
      <c r="F97" s="13">
        <v>160</v>
      </c>
      <c r="G97" s="13">
        <v>25</v>
      </c>
      <c r="H97" s="13">
        <v>9</v>
      </c>
      <c r="I97" s="13">
        <v>6</v>
      </c>
      <c r="J97" s="15">
        <v>1</v>
      </c>
    </row>
    <row r="98" spans="1:15" x14ac:dyDescent="0.35">
      <c r="A98" s="73"/>
      <c r="B98" s="73"/>
      <c r="C98" s="97"/>
      <c r="D98" s="43" t="s">
        <v>130</v>
      </c>
      <c r="E98" s="12" t="s">
        <v>4</v>
      </c>
      <c r="F98" s="13">
        <v>200</v>
      </c>
      <c r="G98" s="13">
        <v>20</v>
      </c>
      <c r="H98" s="13">
        <v>3</v>
      </c>
      <c r="I98" s="13">
        <v>5</v>
      </c>
      <c r="J98" s="15">
        <v>2</v>
      </c>
    </row>
    <row r="99" spans="1:15" x14ac:dyDescent="0.35">
      <c r="A99" s="73"/>
      <c r="B99" s="73"/>
      <c r="C99" s="97"/>
      <c r="D99" s="43" t="s">
        <v>130</v>
      </c>
      <c r="E99" s="12" t="s">
        <v>5</v>
      </c>
      <c r="F99" s="13">
        <v>61</v>
      </c>
      <c r="G99" s="13">
        <v>15</v>
      </c>
      <c r="H99" s="13">
        <v>3</v>
      </c>
      <c r="I99" s="13">
        <v>1</v>
      </c>
      <c r="J99" s="15">
        <v>1</v>
      </c>
      <c r="K99" s="2">
        <f>SUM(F95:F99)</f>
        <v>610</v>
      </c>
      <c r="L99" s="2">
        <f t="shared" ref="L99:O99" si="16">SUM(G95:G99)</f>
        <v>135</v>
      </c>
      <c r="M99" s="2">
        <f t="shared" si="16"/>
        <v>18</v>
      </c>
      <c r="N99" s="2">
        <f t="shared" si="16"/>
        <v>21</v>
      </c>
      <c r="O99" s="2">
        <f t="shared" si="16"/>
        <v>4</v>
      </c>
    </row>
    <row r="100" spans="1:15" x14ac:dyDescent="0.35">
      <c r="A100" s="80"/>
      <c r="B100" s="80" t="s">
        <v>721</v>
      </c>
      <c r="C100" s="105">
        <f>SUM(C5:C95)</f>
        <v>26756</v>
      </c>
      <c r="D100" s="340" t="s">
        <v>229</v>
      </c>
      <c r="E100" s="341"/>
      <c r="F100" s="20">
        <f>SUM(F5:F99)</f>
        <v>10650</v>
      </c>
      <c r="G100" s="20">
        <f>SUM(G5:G99)</f>
        <v>3354</v>
      </c>
      <c r="H100" s="20">
        <f>SUM(H5:H99)</f>
        <v>348</v>
      </c>
      <c r="I100" s="20">
        <f>SUM(I5:I99)</f>
        <v>507</v>
      </c>
      <c r="J100" s="20">
        <f>SUM(J5:J99)</f>
        <v>55</v>
      </c>
    </row>
    <row r="101" spans="1:15" x14ac:dyDescent="0.35">
      <c r="A101" s="338" t="s">
        <v>733</v>
      </c>
      <c r="B101" s="338"/>
      <c r="C101" s="105">
        <f>SUM(C100,F100,G100,H100,I100,J100)</f>
        <v>41670</v>
      </c>
    </row>
    <row r="103" spans="1:15" x14ac:dyDescent="0.35">
      <c r="C103" s="95"/>
      <c r="D103" s="1"/>
    </row>
  </sheetData>
  <mergeCells count="7">
    <mergeCell ref="A101:B101"/>
    <mergeCell ref="D100:E100"/>
    <mergeCell ref="D1:J1"/>
    <mergeCell ref="D2:J2"/>
    <mergeCell ref="A1:C1"/>
    <mergeCell ref="A2:C2"/>
    <mergeCell ref="F3:J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1"/>
  <sheetViews>
    <sheetView workbookViewId="0">
      <selection sqref="A1:C1"/>
    </sheetView>
  </sheetViews>
  <sheetFormatPr defaultRowHeight="12.75" x14ac:dyDescent="0.2"/>
  <cols>
    <col min="2" max="2" width="17.85546875" customWidth="1"/>
    <col min="3" max="3" width="26.28515625" style="110" customWidth="1"/>
    <col min="4" max="4" width="13.140625" customWidth="1"/>
    <col min="5" max="5" width="9.140625" style="11"/>
    <col min="6" max="6" width="13" style="11" customWidth="1"/>
    <col min="7" max="7" width="10.140625" style="11" customWidth="1"/>
    <col min="8" max="8" width="12.42578125" style="11" customWidth="1"/>
    <col min="9" max="9" width="19.28515625" style="11" customWidth="1"/>
    <col min="10" max="10" width="14" style="11" customWidth="1"/>
  </cols>
  <sheetData>
    <row r="1" spans="1:10" ht="21" x14ac:dyDescent="0.35">
      <c r="A1" s="334" t="s">
        <v>734</v>
      </c>
      <c r="B1" s="334"/>
      <c r="C1" s="334"/>
      <c r="D1" s="330" t="s">
        <v>242</v>
      </c>
      <c r="E1" s="330"/>
      <c r="F1" s="330"/>
      <c r="G1" s="330"/>
      <c r="H1" s="330"/>
      <c r="I1" s="330"/>
      <c r="J1" s="330"/>
    </row>
    <row r="2" spans="1:10" ht="21" x14ac:dyDescent="0.35">
      <c r="A2" s="334" t="s">
        <v>861</v>
      </c>
      <c r="B2" s="334"/>
      <c r="C2" s="334"/>
      <c r="D2" s="330" t="s">
        <v>862</v>
      </c>
      <c r="E2" s="330"/>
      <c r="F2" s="330"/>
      <c r="G2" s="330"/>
      <c r="H2" s="330"/>
      <c r="I2" s="330"/>
      <c r="J2" s="330"/>
    </row>
    <row r="3" spans="1:10" ht="21" x14ac:dyDescent="0.35">
      <c r="A3" s="90"/>
      <c r="B3" s="90"/>
      <c r="C3" s="109"/>
      <c r="D3" s="44"/>
      <c r="E3" s="44"/>
      <c r="F3" s="335" t="s">
        <v>716</v>
      </c>
      <c r="G3" s="335"/>
      <c r="H3" s="335"/>
      <c r="I3" s="335"/>
      <c r="J3" s="335"/>
    </row>
    <row r="4" spans="1:10" ht="24.75" customHeight="1" x14ac:dyDescent="0.35">
      <c r="A4" s="85" t="s">
        <v>714</v>
      </c>
      <c r="B4" s="85" t="s">
        <v>254</v>
      </c>
      <c r="C4" s="86" t="s">
        <v>715</v>
      </c>
      <c r="D4" s="46" t="s">
        <v>223</v>
      </c>
      <c r="E4" s="47" t="s">
        <v>222</v>
      </c>
      <c r="F4" s="47" t="s">
        <v>218</v>
      </c>
      <c r="G4" s="47" t="s">
        <v>219</v>
      </c>
      <c r="H4" s="47" t="s">
        <v>220</v>
      </c>
      <c r="I4" s="47" t="s">
        <v>238</v>
      </c>
      <c r="J4" s="47" t="s">
        <v>221</v>
      </c>
    </row>
    <row r="5" spans="1:10" ht="21" x14ac:dyDescent="0.35">
      <c r="A5" s="9" t="s">
        <v>576</v>
      </c>
      <c r="B5" s="9" t="s">
        <v>577</v>
      </c>
      <c r="C5" s="96">
        <v>2334</v>
      </c>
      <c r="D5" s="16" t="s">
        <v>131</v>
      </c>
      <c r="E5" s="17" t="s">
        <v>17</v>
      </c>
      <c r="F5" s="13">
        <v>44</v>
      </c>
      <c r="G5" s="48">
        <v>18</v>
      </c>
      <c r="H5" s="48">
        <v>2</v>
      </c>
      <c r="I5" s="48">
        <v>4</v>
      </c>
      <c r="J5" s="49">
        <v>0</v>
      </c>
    </row>
    <row r="6" spans="1:10" ht="21" x14ac:dyDescent="0.35">
      <c r="D6" s="16" t="s">
        <v>131</v>
      </c>
      <c r="E6" s="17" t="s">
        <v>2</v>
      </c>
      <c r="F6" s="13">
        <v>54</v>
      </c>
      <c r="G6" s="48">
        <v>24</v>
      </c>
      <c r="H6" s="48">
        <v>1</v>
      </c>
      <c r="I6" s="48">
        <v>6</v>
      </c>
      <c r="J6" s="49">
        <v>1</v>
      </c>
    </row>
    <row r="7" spans="1:10" ht="21" x14ac:dyDescent="0.35">
      <c r="A7" s="10"/>
      <c r="B7" s="10"/>
      <c r="C7" s="111"/>
      <c r="D7" s="16" t="s">
        <v>131</v>
      </c>
      <c r="E7" s="17" t="s">
        <v>3</v>
      </c>
      <c r="F7" s="13">
        <v>72</v>
      </c>
      <c r="G7" s="48">
        <v>26</v>
      </c>
      <c r="H7" s="48">
        <v>5</v>
      </c>
      <c r="I7" s="48">
        <v>6</v>
      </c>
      <c r="J7" s="49">
        <v>1</v>
      </c>
    </row>
    <row r="8" spans="1:10" ht="21" x14ac:dyDescent="0.35">
      <c r="A8" s="10"/>
      <c r="B8" s="10"/>
      <c r="C8" s="111"/>
      <c r="D8" s="16" t="s">
        <v>131</v>
      </c>
      <c r="E8" s="17" t="s">
        <v>4</v>
      </c>
      <c r="F8" s="13">
        <v>246</v>
      </c>
      <c r="G8" s="48">
        <v>146</v>
      </c>
      <c r="H8" s="48">
        <v>12</v>
      </c>
      <c r="I8" s="48">
        <v>14</v>
      </c>
      <c r="J8" s="49">
        <v>3</v>
      </c>
    </row>
    <row r="9" spans="1:10" ht="21" x14ac:dyDescent="0.35">
      <c r="A9" s="10"/>
      <c r="B9" s="10"/>
      <c r="C9" s="111"/>
      <c r="D9" s="16" t="s">
        <v>131</v>
      </c>
      <c r="E9" s="17" t="s">
        <v>5</v>
      </c>
      <c r="F9" s="13">
        <v>40</v>
      </c>
      <c r="G9" s="48">
        <v>23</v>
      </c>
      <c r="H9" s="49">
        <v>0</v>
      </c>
      <c r="I9" s="48">
        <v>5</v>
      </c>
      <c r="J9" s="49">
        <v>0</v>
      </c>
    </row>
    <row r="10" spans="1:10" ht="21" x14ac:dyDescent="0.35">
      <c r="A10" s="10"/>
      <c r="B10" s="10"/>
      <c r="C10" s="111"/>
      <c r="D10" s="16" t="s">
        <v>131</v>
      </c>
      <c r="E10" s="17" t="s">
        <v>6</v>
      </c>
      <c r="F10" s="13">
        <v>64</v>
      </c>
      <c r="G10" s="48">
        <v>22</v>
      </c>
      <c r="H10" s="49">
        <v>0</v>
      </c>
      <c r="I10" s="48">
        <v>4</v>
      </c>
      <c r="J10" s="49">
        <v>0</v>
      </c>
    </row>
    <row r="11" spans="1:10" ht="21" x14ac:dyDescent="0.35">
      <c r="A11" s="10"/>
      <c r="B11" s="10"/>
      <c r="C11" s="111"/>
      <c r="D11" s="16" t="s">
        <v>131</v>
      </c>
      <c r="E11" s="17" t="s">
        <v>7</v>
      </c>
      <c r="F11" s="13">
        <v>102</v>
      </c>
      <c r="G11" s="48">
        <v>27</v>
      </c>
      <c r="H11" s="48">
        <v>0</v>
      </c>
      <c r="I11" s="48">
        <v>2</v>
      </c>
      <c r="J11" s="49">
        <v>1</v>
      </c>
    </row>
    <row r="12" spans="1:10" ht="21" x14ac:dyDescent="0.35">
      <c r="A12" s="10"/>
      <c r="B12" s="10"/>
      <c r="C12" s="111"/>
      <c r="D12" s="16" t="s">
        <v>131</v>
      </c>
      <c r="E12" s="17" t="s">
        <v>8</v>
      </c>
      <c r="F12" s="13">
        <v>53</v>
      </c>
      <c r="G12" s="48">
        <v>26</v>
      </c>
      <c r="H12" s="48">
        <v>2</v>
      </c>
      <c r="I12" s="48">
        <v>5</v>
      </c>
      <c r="J12" s="49">
        <v>1</v>
      </c>
    </row>
    <row r="13" spans="1:10" ht="21" x14ac:dyDescent="0.35">
      <c r="A13" s="10"/>
      <c r="B13" s="10"/>
      <c r="C13" s="111"/>
      <c r="D13" s="16" t="s">
        <v>131</v>
      </c>
      <c r="E13" s="17" t="s">
        <v>9</v>
      </c>
      <c r="F13" s="13">
        <v>18</v>
      </c>
      <c r="G13" s="48">
        <v>18</v>
      </c>
      <c r="H13" s="49">
        <v>1</v>
      </c>
      <c r="I13" s="48">
        <v>4</v>
      </c>
      <c r="J13" s="49">
        <v>0</v>
      </c>
    </row>
    <row r="14" spans="1:10" ht="21" x14ac:dyDescent="0.35">
      <c r="A14" s="10"/>
      <c r="B14" s="10"/>
      <c r="C14" s="111"/>
      <c r="D14" s="16" t="s">
        <v>131</v>
      </c>
      <c r="E14" s="17" t="s">
        <v>11</v>
      </c>
      <c r="F14" s="13">
        <v>52</v>
      </c>
      <c r="G14" s="48">
        <v>8</v>
      </c>
      <c r="H14" s="49">
        <v>0</v>
      </c>
      <c r="I14" s="48">
        <v>1</v>
      </c>
      <c r="J14" s="49">
        <v>1</v>
      </c>
    </row>
    <row r="15" spans="1:10" ht="21" x14ac:dyDescent="0.35">
      <c r="A15" s="10"/>
      <c r="B15" s="10"/>
      <c r="C15" s="111"/>
      <c r="D15" s="16" t="s">
        <v>131</v>
      </c>
      <c r="E15" s="17" t="s">
        <v>12</v>
      </c>
      <c r="F15" s="13">
        <v>31</v>
      </c>
      <c r="G15" s="48">
        <v>15</v>
      </c>
      <c r="H15" s="48">
        <v>2</v>
      </c>
      <c r="I15" s="48">
        <v>3</v>
      </c>
      <c r="J15" s="49">
        <v>0</v>
      </c>
    </row>
    <row r="16" spans="1:10" ht="21" x14ac:dyDescent="0.35">
      <c r="A16" s="10"/>
      <c r="B16" s="10"/>
      <c r="C16" s="111"/>
      <c r="D16" s="16" t="s">
        <v>131</v>
      </c>
      <c r="E16" s="17" t="s">
        <v>13</v>
      </c>
      <c r="F16" s="13">
        <v>30</v>
      </c>
      <c r="G16" s="48">
        <v>15</v>
      </c>
      <c r="H16" s="49">
        <v>0</v>
      </c>
      <c r="I16" s="49">
        <v>0</v>
      </c>
      <c r="J16" s="49">
        <v>0</v>
      </c>
    </row>
    <row r="17" spans="1:15" ht="21" x14ac:dyDescent="0.35">
      <c r="A17" s="10"/>
      <c r="B17" s="10"/>
      <c r="C17" s="111"/>
      <c r="D17" s="16" t="s">
        <v>131</v>
      </c>
      <c r="E17" s="17" t="s">
        <v>15</v>
      </c>
      <c r="F17" s="13">
        <v>1</v>
      </c>
      <c r="G17" s="48">
        <v>1</v>
      </c>
      <c r="H17" s="49">
        <v>0</v>
      </c>
      <c r="I17" s="49">
        <v>0</v>
      </c>
      <c r="J17" s="49">
        <v>0</v>
      </c>
      <c r="K17">
        <f>SUM(F5:F17)</f>
        <v>807</v>
      </c>
      <c r="L17">
        <f t="shared" ref="L17:O17" si="0">SUM(G5:G17)</f>
        <v>369</v>
      </c>
      <c r="M17">
        <f t="shared" si="0"/>
        <v>25</v>
      </c>
      <c r="N17">
        <f t="shared" si="0"/>
        <v>54</v>
      </c>
      <c r="O17">
        <f t="shared" si="0"/>
        <v>8</v>
      </c>
    </row>
    <row r="18" spans="1:15" ht="21" x14ac:dyDescent="0.35">
      <c r="A18" s="4" t="s">
        <v>578</v>
      </c>
      <c r="B18" s="4" t="s">
        <v>579</v>
      </c>
      <c r="C18" s="98">
        <v>1262</v>
      </c>
      <c r="D18" s="16" t="s">
        <v>132</v>
      </c>
      <c r="E18" s="17" t="s">
        <v>0</v>
      </c>
      <c r="F18" s="12">
        <v>3</v>
      </c>
      <c r="G18" s="50">
        <v>0</v>
      </c>
      <c r="H18" s="50">
        <v>0</v>
      </c>
      <c r="I18" s="50">
        <v>0</v>
      </c>
      <c r="J18" s="50">
        <v>0</v>
      </c>
    </row>
    <row r="19" spans="1:15" ht="21" x14ac:dyDescent="0.35">
      <c r="A19" s="5"/>
      <c r="B19" s="5"/>
      <c r="C19" s="112"/>
      <c r="D19" s="16" t="s">
        <v>132</v>
      </c>
      <c r="E19" s="17" t="s">
        <v>17</v>
      </c>
      <c r="F19" s="12">
        <v>40</v>
      </c>
      <c r="G19" s="51">
        <v>11</v>
      </c>
      <c r="H19" s="51">
        <v>4</v>
      </c>
      <c r="I19" s="51">
        <v>3</v>
      </c>
      <c r="J19" s="50">
        <v>0</v>
      </c>
    </row>
    <row r="20" spans="1:15" ht="21" x14ac:dyDescent="0.35">
      <c r="A20" s="5"/>
      <c r="B20" s="5"/>
      <c r="C20" s="112"/>
      <c r="D20" s="16" t="s">
        <v>132</v>
      </c>
      <c r="E20" s="17" t="s">
        <v>2</v>
      </c>
      <c r="F20" s="12">
        <v>26</v>
      </c>
      <c r="G20" s="51">
        <v>17</v>
      </c>
      <c r="H20" s="51">
        <v>2</v>
      </c>
      <c r="I20" s="51">
        <v>3</v>
      </c>
      <c r="J20" s="50">
        <v>0</v>
      </c>
    </row>
    <row r="21" spans="1:15" ht="21" x14ac:dyDescent="0.35">
      <c r="A21" s="5"/>
      <c r="B21" s="5"/>
      <c r="C21" s="112"/>
      <c r="D21" s="16" t="s">
        <v>132</v>
      </c>
      <c r="E21" s="17" t="s">
        <v>3</v>
      </c>
      <c r="F21" s="12">
        <v>60</v>
      </c>
      <c r="G21" s="51">
        <v>14</v>
      </c>
      <c r="H21" s="51">
        <v>6</v>
      </c>
      <c r="I21" s="51">
        <v>1</v>
      </c>
      <c r="J21" s="50">
        <v>0</v>
      </c>
    </row>
    <row r="22" spans="1:15" ht="21" x14ac:dyDescent="0.35">
      <c r="A22" s="5"/>
      <c r="B22" s="5"/>
      <c r="C22" s="112"/>
      <c r="D22" s="16" t="s">
        <v>132</v>
      </c>
      <c r="E22" s="17" t="s">
        <v>4</v>
      </c>
      <c r="F22" s="12">
        <v>46</v>
      </c>
      <c r="G22" s="51">
        <v>15</v>
      </c>
      <c r="H22" s="51">
        <v>3</v>
      </c>
      <c r="I22" s="51">
        <v>2</v>
      </c>
      <c r="J22" s="50">
        <v>0</v>
      </c>
    </row>
    <row r="23" spans="1:15" ht="21" x14ac:dyDescent="0.35">
      <c r="A23" s="5"/>
      <c r="B23" s="5"/>
      <c r="C23" s="112"/>
      <c r="D23" s="16" t="s">
        <v>132</v>
      </c>
      <c r="E23" s="17" t="s">
        <v>5</v>
      </c>
      <c r="F23" s="12">
        <v>19</v>
      </c>
      <c r="G23" s="51">
        <v>13</v>
      </c>
      <c r="H23" s="51">
        <v>1</v>
      </c>
      <c r="I23" s="51">
        <v>1</v>
      </c>
      <c r="J23" s="50">
        <v>0</v>
      </c>
    </row>
    <row r="24" spans="1:15" ht="21" x14ac:dyDescent="0.35">
      <c r="A24" s="5"/>
      <c r="B24" s="5"/>
      <c r="C24" s="112"/>
      <c r="D24" s="16" t="s">
        <v>132</v>
      </c>
      <c r="E24" s="17" t="s">
        <v>6</v>
      </c>
      <c r="F24" s="12">
        <v>15</v>
      </c>
      <c r="G24" s="51">
        <v>13</v>
      </c>
      <c r="H24" s="51">
        <v>1</v>
      </c>
      <c r="I24" s="51">
        <v>4</v>
      </c>
      <c r="J24" s="50">
        <v>0</v>
      </c>
    </row>
    <row r="25" spans="1:15" ht="21" x14ac:dyDescent="0.35">
      <c r="A25" s="5"/>
      <c r="B25" s="5"/>
      <c r="C25" s="112"/>
      <c r="D25" s="16" t="s">
        <v>132</v>
      </c>
      <c r="E25" s="17" t="s">
        <v>7</v>
      </c>
      <c r="F25" s="12">
        <v>30</v>
      </c>
      <c r="G25" s="51">
        <v>21</v>
      </c>
      <c r="H25" s="51">
        <v>5</v>
      </c>
      <c r="I25" s="51">
        <v>1</v>
      </c>
      <c r="J25" s="50">
        <v>0</v>
      </c>
    </row>
    <row r="26" spans="1:15" ht="21" x14ac:dyDescent="0.35">
      <c r="A26" s="5"/>
      <c r="B26" s="5"/>
      <c r="C26" s="112"/>
      <c r="D26" s="16" t="s">
        <v>132</v>
      </c>
      <c r="E26" s="17" t="s">
        <v>8</v>
      </c>
      <c r="F26" s="12">
        <v>53</v>
      </c>
      <c r="G26" s="51">
        <v>19</v>
      </c>
      <c r="H26" s="50">
        <v>0</v>
      </c>
      <c r="I26" s="51">
        <v>1</v>
      </c>
      <c r="J26" s="50">
        <v>1</v>
      </c>
    </row>
    <row r="27" spans="1:15" ht="21" x14ac:dyDescent="0.35">
      <c r="A27" s="5"/>
      <c r="B27" s="5"/>
      <c r="C27" s="112"/>
      <c r="D27" s="16" t="s">
        <v>132</v>
      </c>
      <c r="E27" s="17" t="s">
        <v>9</v>
      </c>
      <c r="F27" s="12">
        <v>27</v>
      </c>
      <c r="G27" s="51">
        <v>29</v>
      </c>
      <c r="H27" s="51">
        <v>3</v>
      </c>
      <c r="I27" s="51">
        <v>2</v>
      </c>
      <c r="J27" s="50">
        <v>0</v>
      </c>
    </row>
    <row r="28" spans="1:15" ht="21" x14ac:dyDescent="0.35">
      <c r="A28" s="5"/>
      <c r="B28" s="5"/>
      <c r="C28" s="112"/>
      <c r="D28" s="16" t="s">
        <v>132</v>
      </c>
      <c r="E28" s="17" t="s">
        <v>11</v>
      </c>
      <c r="F28" s="12">
        <v>23</v>
      </c>
      <c r="G28" s="51">
        <v>16</v>
      </c>
      <c r="H28" s="50">
        <v>0</v>
      </c>
      <c r="I28" s="51">
        <v>4</v>
      </c>
      <c r="J28" s="50">
        <v>0</v>
      </c>
    </row>
    <row r="29" spans="1:15" ht="21" x14ac:dyDescent="0.35">
      <c r="A29" s="5"/>
      <c r="B29" s="5"/>
      <c r="C29" s="112"/>
      <c r="D29" s="16" t="s">
        <v>132</v>
      </c>
      <c r="E29" s="17" t="s">
        <v>12</v>
      </c>
      <c r="F29" s="12">
        <v>133</v>
      </c>
      <c r="G29" s="51">
        <v>33</v>
      </c>
      <c r="H29" s="51">
        <v>2</v>
      </c>
      <c r="I29" s="51">
        <v>4</v>
      </c>
      <c r="J29" s="50">
        <v>1</v>
      </c>
      <c r="K29">
        <f>SUM(F18:F29)</f>
        <v>475</v>
      </c>
      <c r="L29">
        <f t="shared" ref="L29:O29" si="1">SUM(G18:G29)</f>
        <v>201</v>
      </c>
      <c r="M29">
        <f t="shared" si="1"/>
        <v>27</v>
      </c>
      <c r="N29">
        <f t="shared" si="1"/>
        <v>26</v>
      </c>
      <c r="O29">
        <f t="shared" si="1"/>
        <v>2</v>
      </c>
    </row>
    <row r="30" spans="1:15" ht="21" x14ac:dyDescent="0.35">
      <c r="A30" s="9" t="s">
        <v>580</v>
      </c>
      <c r="B30" s="9" t="s">
        <v>581</v>
      </c>
      <c r="C30" s="96">
        <v>1789</v>
      </c>
      <c r="D30" s="16" t="s">
        <v>133</v>
      </c>
      <c r="E30" s="17" t="s">
        <v>17</v>
      </c>
      <c r="F30" s="13">
        <v>54</v>
      </c>
      <c r="G30" s="48">
        <v>24</v>
      </c>
      <c r="H30" s="49">
        <v>0</v>
      </c>
      <c r="I30" s="48">
        <v>5</v>
      </c>
      <c r="J30" s="48">
        <v>0</v>
      </c>
    </row>
    <row r="31" spans="1:15" ht="21" x14ac:dyDescent="0.35">
      <c r="A31" s="10"/>
      <c r="B31" s="10"/>
      <c r="C31" s="111"/>
      <c r="D31" s="16" t="s">
        <v>133</v>
      </c>
      <c r="E31" s="17" t="s">
        <v>2</v>
      </c>
      <c r="F31" s="13">
        <v>194</v>
      </c>
      <c r="G31" s="48">
        <v>46</v>
      </c>
      <c r="H31" s="48">
        <v>3</v>
      </c>
      <c r="I31" s="48">
        <v>9</v>
      </c>
      <c r="J31" s="48">
        <v>1</v>
      </c>
    </row>
    <row r="32" spans="1:15" ht="21" x14ac:dyDescent="0.35">
      <c r="A32" s="10"/>
      <c r="B32" s="10"/>
      <c r="C32" s="111"/>
      <c r="D32" s="16" t="s">
        <v>133</v>
      </c>
      <c r="E32" s="17" t="s">
        <v>3</v>
      </c>
      <c r="F32" s="13">
        <v>44</v>
      </c>
      <c r="G32" s="48">
        <v>20</v>
      </c>
      <c r="H32" s="48">
        <v>5</v>
      </c>
      <c r="I32" s="48">
        <v>5</v>
      </c>
      <c r="J32" s="49">
        <v>2</v>
      </c>
    </row>
    <row r="33" spans="1:15" ht="21" x14ac:dyDescent="0.35">
      <c r="A33" s="10"/>
      <c r="B33" s="10"/>
      <c r="C33" s="111"/>
      <c r="D33" s="16" t="s">
        <v>133</v>
      </c>
      <c r="E33" s="17" t="s">
        <v>4</v>
      </c>
      <c r="F33" s="13">
        <v>122</v>
      </c>
      <c r="G33" s="48">
        <v>36</v>
      </c>
      <c r="H33" s="48">
        <v>3</v>
      </c>
      <c r="I33" s="48">
        <v>4</v>
      </c>
      <c r="J33" s="49">
        <v>2</v>
      </c>
    </row>
    <row r="34" spans="1:15" ht="21" x14ac:dyDescent="0.35">
      <c r="A34" s="10"/>
      <c r="B34" s="10"/>
      <c r="C34" s="111"/>
      <c r="D34" s="16" t="s">
        <v>133</v>
      </c>
      <c r="E34" s="17" t="s">
        <v>5</v>
      </c>
      <c r="F34" s="13">
        <v>93</v>
      </c>
      <c r="G34" s="48">
        <v>41</v>
      </c>
      <c r="H34" s="48">
        <v>3</v>
      </c>
      <c r="I34" s="48">
        <v>3</v>
      </c>
      <c r="J34" s="49">
        <v>0</v>
      </c>
    </row>
    <row r="35" spans="1:15" ht="21" x14ac:dyDescent="0.35">
      <c r="A35" s="10"/>
      <c r="B35" s="10"/>
      <c r="C35" s="111"/>
      <c r="D35" s="16" t="s">
        <v>133</v>
      </c>
      <c r="E35" s="17" t="s">
        <v>6</v>
      </c>
      <c r="F35" s="13">
        <v>77</v>
      </c>
      <c r="G35" s="48">
        <v>25</v>
      </c>
      <c r="H35" s="48">
        <v>3</v>
      </c>
      <c r="I35" s="48">
        <v>3</v>
      </c>
      <c r="J35" s="49">
        <v>0</v>
      </c>
    </row>
    <row r="36" spans="1:15" ht="21" x14ac:dyDescent="0.35">
      <c r="A36" s="10"/>
      <c r="B36" s="10"/>
      <c r="C36" s="111"/>
      <c r="D36" s="16" t="s">
        <v>133</v>
      </c>
      <c r="E36" s="17" t="s">
        <v>7</v>
      </c>
      <c r="F36" s="13">
        <v>68</v>
      </c>
      <c r="G36" s="48">
        <v>36</v>
      </c>
      <c r="H36" s="48">
        <v>4</v>
      </c>
      <c r="I36" s="48">
        <v>2</v>
      </c>
      <c r="J36" s="49">
        <v>0</v>
      </c>
    </row>
    <row r="37" spans="1:15" ht="21" x14ac:dyDescent="0.35">
      <c r="A37" s="10"/>
      <c r="B37" s="10"/>
      <c r="C37" s="111"/>
      <c r="D37" s="16" t="s">
        <v>133</v>
      </c>
      <c r="E37" s="17" t="s">
        <v>8</v>
      </c>
      <c r="F37" s="13">
        <v>95</v>
      </c>
      <c r="G37" s="48">
        <v>17</v>
      </c>
      <c r="H37" s="48">
        <v>2</v>
      </c>
      <c r="I37" s="48">
        <v>6</v>
      </c>
      <c r="J37" s="48">
        <v>1</v>
      </c>
      <c r="K37">
        <f>SUM(F30:F37)</f>
        <v>747</v>
      </c>
      <c r="L37">
        <f t="shared" ref="L37:O37" si="2">SUM(G30:G37)</f>
        <v>245</v>
      </c>
      <c r="M37">
        <f t="shared" si="2"/>
        <v>23</v>
      </c>
      <c r="N37">
        <f t="shared" si="2"/>
        <v>37</v>
      </c>
      <c r="O37">
        <f t="shared" si="2"/>
        <v>6</v>
      </c>
    </row>
    <row r="38" spans="1:15" ht="21" x14ac:dyDescent="0.35">
      <c r="A38" s="4" t="s">
        <v>582</v>
      </c>
      <c r="B38" s="4" t="s">
        <v>583</v>
      </c>
      <c r="C38" s="98">
        <v>1236</v>
      </c>
      <c r="D38" s="16" t="s">
        <v>134</v>
      </c>
      <c r="E38" s="17" t="s">
        <v>17</v>
      </c>
      <c r="F38" s="12">
        <v>77</v>
      </c>
      <c r="G38" s="51">
        <v>36</v>
      </c>
      <c r="H38" s="51">
        <v>6</v>
      </c>
      <c r="I38" s="51">
        <v>6</v>
      </c>
      <c r="J38" s="50">
        <v>0</v>
      </c>
    </row>
    <row r="39" spans="1:15" ht="21" x14ac:dyDescent="0.35">
      <c r="A39" s="5"/>
      <c r="B39" s="5"/>
      <c r="C39" s="112"/>
      <c r="D39" s="16" t="s">
        <v>134</v>
      </c>
      <c r="E39" s="17" t="s">
        <v>2</v>
      </c>
      <c r="F39" s="12">
        <v>80</v>
      </c>
      <c r="G39" s="51">
        <v>14</v>
      </c>
      <c r="H39" s="50">
        <v>0</v>
      </c>
      <c r="I39" s="51">
        <v>1</v>
      </c>
      <c r="J39" s="50">
        <v>1</v>
      </c>
    </row>
    <row r="40" spans="1:15" ht="21" x14ac:dyDescent="0.35">
      <c r="A40" s="5"/>
      <c r="B40" s="5"/>
      <c r="C40" s="112"/>
      <c r="D40" s="16" t="s">
        <v>134</v>
      </c>
      <c r="E40" s="17" t="s">
        <v>3</v>
      </c>
      <c r="F40" s="12">
        <v>89</v>
      </c>
      <c r="G40" s="51">
        <v>21</v>
      </c>
      <c r="H40" s="50">
        <v>0</v>
      </c>
      <c r="I40" s="51">
        <v>4</v>
      </c>
      <c r="J40" s="50">
        <v>0</v>
      </c>
    </row>
    <row r="41" spans="1:15" ht="21" x14ac:dyDescent="0.35">
      <c r="A41" s="5"/>
      <c r="B41" s="5"/>
      <c r="C41" s="112"/>
      <c r="D41" s="16" t="s">
        <v>134</v>
      </c>
      <c r="E41" s="17" t="s">
        <v>4</v>
      </c>
      <c r="F41" s="12">
        <v>96</v>
      </c>
      <c r="G41" s="51">
        <v>40</v>
      </c>
      <c r="H41" s="51">
        <v>7</v>
      </c>
      <c r="I41" s="51">
        <v>6</v>
      </c>
      <c r="J41" s="50">
        <v>0</v>
      </c>
    </row>
    <row r="42" spans="1:15" ht="21" x14ac:dyDescent="0.35">
      <c r="A42" s="5"/>
      <c r="B42" s="5"/>
      <c r="C42" s="112"/>
      <c r="D42" s="16" t="s">
        <v>134</v>
      </c>
      <c r="E42" s="17" t="s">
        <v>5</v>
      </c>
      <c r="F42" s="12">
        <v>111</v>
      </c>
      <c r="G42" s="51">
        <v>15</v>
      </c>
      <c r="H42" s="51">
        <v>4</v>
      </c>
      <c r="I42" s="51">
        <v>6</v>
      </c>
      <c r="J42" s="50">
        <v>1</v>
      </c>
    </row>
    <row r="43" spans="1:15" ht="21" x14ac:dyDescent="0.35">
      <c r="A43" s="5"/>
      <c r="B43" s="5"/>
      <c r="C43" s="112"/>
      <c r="D43" s="16" t="s">
        <v>134</v>
      </c>
      <c r="E43" s="17" t="s">
        <v>6</v>
      </c>
      <c r="F43" s="12">
        <v>123</v>
      </c>
      <c r="G43" s="51">
        <v>13</v>
      </c>
      <c r="H43" s="51">
        <v>8</v>
      </c>
      <c r="I43" s="51">
        <v>11</v>
      </c>
      <c r="J43" s="50">
        <v>0</v>
      </c>
      <c r="K43">
        <f>SUM(F38:F43)</f>
        <v>576</v>
      </c>
      <c r="L43">
        <f t="shared" ref="L43:O43" si="3">SUM(G38:G43)</f>
        <v>139</v>
      </c>
      <c r="M43">
        <f t="shared" si="3"/>
        <v>25</v>
      </c>
      <c r="N43">
        <f t="shared" si="3"/>
        <v>34</v>
      </c>
      <c r="O43">
        <f t="shared" si="3"/>
        <v>2</v>
      </c>
    </row>
    <row r="44" spans="1:15" ht="21" x14ac:dyDescent="0.35">
      <c r="A44" s="9" t="s">
        <v>574</v>
      </c>
      <c r="B44" s="9" t="s">
        <v>575</v>
      </c>
      <c r="C44" s="96">
        <v>2162</v>
      </c>
      <c r="D44" s="16" t="s">
        <v>135</v>
      </c>
      <c r="E44" s="17" t="s">
        <v>17</v>
      </c>
      <c r="F44" s="13">
        <v>74</v>
      </c>
      <c r="G44" s="48">
        <v>25</v>
      </c>
      <c r="H44" s="49">
        <v>0</v>
      </c>
      <c r="I44" s="48">
        <v>3</v>
      </c>
      <c r="J44" s="49">
        <v>0</v>
      </c>
    </row>
    <row r="45" spans="1:15" ht="21" x14ac:dyDescent="0.35">
      <c r="A45" s="10"/>
      <c r="B45" s="10"/>
      <c r="C45" s="111"/>
      <c r="D45" s="16" t="s">
        <v>135</v>
      </c>
      <c r="E45" s="17" t="s">
        <v>2</v>
      </c>
      <c r="F45" s="13">
        <v>81</v>
      </c>
      <c r="G45" s="48">
        <v>24</v>
      </c>
      <c r="H45" s="48">
        <v>0</v>
      </c>
      <c r="I45" s="48">
        <v>1</v>
      </c>
      <c r="J45" s="49">
        <v>0</v>
      </c>
    </row>
    <row r="46" spans="1:15" ht="21" x14ac:dyDescent="0.35">
      <c r="A46" s="10"/>
      <c r="B46" s="10"/>
      <c r="C46" s="111"/>
      <c r="D46" s="16" t="s">
        <v>135</v>
      </c>
      <c r="E46" s="17" t="s">
        <v>3</v>
      </c>
      <c r="F46" s="13">
        <v>51</v>
      </c>
      <c r="G46" s="48">
        <v>38</v>
      </c>
      <c r="H46" s="48">
        <v>3</v>
      </c>
      <c r="I46" s="48">
        <v>4</v>
      </c>
      <c r="J46" s="49">
        <v>0</v>
      </c>
    </row>
    <row r="47" spans="1:15" ht="21" x14ac:dyDescent="0.35">
      <c r="A47" s="10"/>
      <c r="B47" s="10"/>
      <c r="C47" s="111"/>
      <c r="D47" s="16" t="s">
        <v>135</v>
      </c>
      <c r="E47" s="17" t="s">
        <v>4</v>
      </c>
      <c r="F47" s="13">
        <v>73</v>
      </c>
      <c r="G47" s="48">
        <v>62</v>
      </c>
      <c r="H47" s="48">
        <v>9</v>
      </c>
      <c r="I47" s="48">
        <v>6</v>
      </c>
      <c r="J47" s="49">
        <v>0</v>
      </c>
    </row>
    <row r="48" spans="1:15" ht="21" x14ac:dyDescent="0.35">
      <c r="A48" s="10"/>
      <c r="B48" s="10"/>
      <c r="C48" s="111"/>
      <c r="D48" s="16" t="s">
        <v>135</v>
      </c>
      <c r="E48" s="17" t="s">
        <v>5</v>
      </c>
      <c r="F48" s="13">
        <v>50</v>
      </c>
      <c r="G48" s="48">
        <v>41</v>
      </c>
      <c r="H48" s="48">
        <v>4</v>
      </c>
      <c r="I48" s="48">
        <v>3</v>
      </c>
      <c r="J48" s="49">
        <v>0</v>
      </c>
    </row>
    <row r="49" spans="1:15" ht="21" x14ac:dyDescent="0.35">
      <c r="A49" s="10"/>
      <c r="B49" s="10"/>
      <c r="C49" s="111"/>
      <c r="D49" s="16" t="s">
        <v>135</v>
      </c>
      <c r="E49" s="17" t="s">
        <v>6</v>
      </c>
      <c r="F49" s="13">
        <v>46</v>
      </c>
      <c r="G49" s="48">
        <v>27</v>
      </c>
      <c r="H49" s="48">
        <v>4</v>
      </c>
      <c r="I49" s="48">
        <v>4</v>
      </c>
      <c r="J49" s="49">
        <v>0</v>
      </c>
    </row>
    <row r="50" spans="1:15" ht="21" x14ac:dyDescent="0.35">
      <c r="A50" s="10"/>
      <c r="B50" s="10"/>
      <c r="C50" s="111"/>
      <c r="D50" s="16" t="s">
        <v>135</v>
      </c>
      <c r="E50" s="17" t="s">
        <v>7</v>
      </c>
      <c r="F50" s="13">
        <v>35</v>
      </c>
      <c r="G50" s="48">
        <v>23</v>
      </c>
      <c r="H50" s="48">
        <v>2</v>
      </c>
      <c r="I50" s="48">
        <v>2</v>
      </c>
      <c r="J50" s="49">
        <v>0</v>
      </c>
      <c r="K50">
        <f>SUM(F38:F50)</f>
        <v>986</v>
      </c>
      <c r="L50">
        <f t="shared" ref="L50:O50" si="4">SUM(G38:G50)</f>
        <v>379</v>
      </c>
      <c r="M50">
        <f t="shared" si="4"/>
        <v>47</v>
      </c>
      <c r="N50">
        <f t="shared" si="4"/>
        <v>57</v>
      </c>
      <c r="O50">
        <f t="shared" si="4"/>
        <v>2</v>
      </c>
    </row>
    <row r="51" spans="1:15" ht="21" x14ac:dyDescent="0.35">
      <c r="A51" s="4" t="s">
        <v>380</v>
      </c>
      <c r="B51" s="4" t="s">
        <v>381</v>
      </c>
      <c r="C51" s="98">
        <v>1048</v>
      </c>
      <c r="D51" s="16" t="s">
        <v>136</v>
      </c>
      <c r="E51" s="17" t="s">
        <v>17</v>
      </c>
      <c r="F51" s="12">
        <v>102</v>
      </c>
      <c r="G51" s="51">
        <v>13</v>
      </c>
      <c r="H51" s="51">
        <v>10</v>
      </c>
      <c r="I51" s="51">
        <v>3</v>
      </c>
      <c r="J51" s="50">
        <v>0</v>
      </c>
    </row>
    <row r="52" spans="1:15" ht="21" x14ac:dyDescent="0.35">
      <c r="A52" s="5"/>
      <c r="B52" s="5"/>
      <c r="C52" s="112"/>
      <c r="D52" s="16" t="s">
        <v>136</v>
      </c>
      <c r="E52" s="17" t="s">
        <v>2</v>
      </c>
      <c r="F52" s="12">
        <v>45</v>
      </c>
      <c r="G52" s="51">
        <v>30</v>
      </c>
      <c r="H52" s="50">
        <v>0</v>
      </c>
      <c r="I52" s="50">
        <v>0</v>
      </c>
      <c r="J52" s="50">
        <v>0</v>
      </c>
    </row>
    <row r="53" spans="1:15" ht="21" x14ac:dyDescent="0.35">
      <c r="A53" s="5"/>
      <c r="B53" s="5"/>
      <c r="C53" s="112"/>
      <c r="D53" s="16" t="s">
        <v>136</v>
      </c>
      <c r="E53" s="17" t="s">
        <v>3</v>
      </c>
      <c r="F53" s="12">
        <v>60</v>
      </c>
      <c r="G53" s="51">
        <v>10</v>
      </c>
      <c r="H53" s="51">
        <v>5</v>
      </c>
      <c r="I53" s="51">
        <v>5</v>
      </c>
      <c r="J53" s="50">
        <v>1</v>
      </c>
    </row>
    <row r="54" spans="1:15" ht="21" x14ac:dyDescent="0.35">
      <c r="A54" s="5"/>
      <c r="B54" s="5"/>
      <c r="C54" s="112"/>
      <c r="D54" s="16" t="s">
        <v>136</v>
      </c>
      <c r="E54" s="17" t="s">
        <v>4</v>
      </c>
      <c r="F54" s="12">
        <v>60</v>
      </c>
      <c r="G54" s="51">
        <v>7</v>
      </c>
      <c r="H54" s="51">
        <v>7</v>
      </c>
      <c r="I54" s="50">
        <v>0</v>
      </c>
      <c r="J54" s="50">
        <v>1</v>
      </c>
    </row>
    <row r="55" spans="1:15" ht="21" x14ac:dyDescent="0.35">
      <c r="A55" s="5"/>
      <c r="B55" s="5"/>
      <c r="C55" s="112"/>
      <c r="D55" s="16" t="s">
        <v>136</v>
      </c>
      <c r="E55" s="17" t="s">
        <v>5</v>
      </c>
      <c r="F55" s="12">
        <v>37</v>
      </c>
      <c r="G55" s="51">
        <v>18</v>
      </c>
      <c r="H55" s="51">
        <v>1</v>
      </c>
      <c r="I55" s="51">
        <v>2</v>
      </c>
      <c r="J55" s="50">
        <v>1</v>
      </c>
    </row>
    <row r="56" spans="1:15" ht="21" x14ac:dyDescent="0.35">
      <c r="A56" s="5"/>
      <c r="B56" s="5"/>
      <c r="C56" s="112"/>
      <c r="D56" s="16" t="s">
        <v>136</v>
      </c>
      <c r="E56" s="17" t="s">
        <v>6</v>
      </c>
      <c r="F56" s="12">
        <v>64</v>
      </c>
      <c r="G56" s="51">
        <v>14</v>
      </c>
      <c r="H56" s="51">
        <v>4</v>
      </c>
      <c r="I56" s="51">
        <v>3</v>
      </c>
      <c r="J56" s="50">
        <v>3</v>
      </c>
    </row>
    <row r="57" spans="1:15" ht="21" x14ac:dyDescent="0.35">
      <c r="A57" s="5"/>
      <c r="B57" s="5"/>
      <c r="C57" s="112"/>
      <c r="D57" s="16" t="s">
        <v>136</v>
      </c>
      <c r="E57" s="17" t="s">
        <v>7</v>
      </c>
      <c r="F57" s="12">
        <v>62</v>
      </c>
      <c r="G57" s="51">
        <v>20</v>
      </c>
      <c r="H57" s="51">
        <v>7</v>
      </c>
      <c r="I57" s="51">
        <v>3</v>
      </c>
      <c r="J57" s="50">
        <v>0</v>
      </c>
    </row>
    <row r="58" spans="1:15" ht="21" x14ac:dyDescent="0.35">
      <c r="A58" s="5"/>
      <c r="B58" s="5"/>
      <c r="C58" s="112"/>
      <c r="D58" s="16" t="s">
        <v>136</v>
      </c>
      <c r="E58" s="17" t="s">
        <v>8</v>
      </c>
      <c r="F58" s="12">
        <v>98</v>
      </c>
      <c r="G58" s="51">
        <v>49</v>
      </c>
      <c r="H58" s="51">
        <v>4</v>
      </c>
      <c r="I58" s="51">
        <v>4</v>
      </c>
      <c r="J58" s="50">
        <v>1</v>
      </c>
      <c r="K58">
        <f>SUM(F51:F58)</f>
        <v>528</v>
      </c>
      <c r="L58">
        <f t="shared" ref="L58:O58" si="5">SUM(G51:G58)</f>
        <v>161</v>
      </c>
      <c r="M58">
        <f t="shared" si="5"/>
        <v>38</v>
      </c>
      <c r="N58">
        <f t="shared" si="5"/>
        <v>20</v>
      </c>
      <c r="O58">
        <f t="shared" si="5"/>
        <v>7</v>
      </c>
    </row>
    <row r="59" spans="1:15" ht="21" x14ac:dyDescent="0.35">
      <c r="A59" s="9" t="s">
        <v>584</v>
      </c>
      <c r="B59" s="9" t="s">
        <v>585</v>
      </c>
      <c r="C59" s="96">
        <v>1241</v>
      </c>
      <c r="D59" s="16" t="s">
        <v>137</v>
      </c>
      <c r="E59" s="17" t="s">
        <v>17</v>
      </c>
      <c r="F59" s="13">
        <v>49</v>
      </c>
      <c r="G59" s="48">
        <v>19</v>
      </c>
      <c r="H59" s="48">
        <v>2</v>
      </c>
      <c r="I59" s="48">
        <v>1</v>
      </c>
      <c r="J59" s="49">
        <v>0</v>
      </c>
    </row>
    <row r="60" spans="1:15" ht="21" x14ac:dyDescent="0.35">
      <c r="A60" s="10"/>
      <c r="B60" s="10"/>
      <c r="C60" s="111"/>
      <c r="D60" s="16" t="s">
        <v>137</v>
      </c>
      <c r="E60" s="17" t="s">
        <v>2</v>
      </c>
      <c r="F60" s="13">
        <v>71</v>
      </c>
      <c r="G60" s="48">
        <v>9</v>
      </c>
      <c r="H60" s="48">
        <v>1</v>
      </c>
      <c r="I60" s="48">
        <v>3</v>
      </c>
      <c r="J60" s="49">
        <v>1</v>
      </c>
    </row>
    <row r="61" spans="1:15" ht="21" x14ac:dyDescent="0.35">
      <c r="A61" s="10"/>
      <c r="B61" s="10"/>
      <c r="C61" s="111"/>
      <c r="D61" s="16" t="s">
        <v>137</v>
      </c>
      <c r="E61" s="17" t="s">
        <v>3</v>
      </c>
      <c r="F61" s="13">
        <v>130</v>
      </c>
      <c r="G61" s="48">
        <v>21</v>
      </c>
      <c r="H61" s="49">
        <v>0</v>
      </c>
      <c r="I61" s="48">
        <v>1</v>
      </c>
      <c r="J61" s="49">
        <v>1</v>
      </c>
    </row>
    <row r="62" spans="1:15" ht="21" x14ac:dyDescent="0.35">
      <c r="A62" s="10"/>
      <c r="B62" s="10"/>
      <c r="C62" s="111"/>
      <c r="D62" s="16" t="s">
        <v>137</v>
      </c>
      <c r="E62" s="17" t="s">
        <v>4</v>
      </c>
      <c r="F62" s="13">
        <v>64</v>
      </c>
      <c r="G62" s="48">
        <v>13</v>
      </c>
      <c r="H62" s="49">
        <v>0</v>
      </c>
      <c r="I62" s="48">
        <v>1</v>
      </c>
      <c r="J62" s="49">
        <v>0</v>
      </c>
    </row>
    <row r="63" spans="1:15" ht="21" x14ac:dyDescent="0.35">
      <c r="A63" s="10"/>
      <c r="B63" s="10"/>
      <c r="C63" s="111"/>
      <c r="D63" s="16" t="s">
        <v>137</v>
      </c>
      <c r="E63" s="17" t="s">
        <v>5</v>
      </c>
      <c r="F63" s="13">
        <v>74</v>
      </c>
      <c r="G63" s="48">
        <v>14</v>
      </c>
      <c r="H63" s="49">
        <v>0</v>
      </c>
      <c r="I63" s="48">
        <v>2</v>
      </c>
      <c r="J63" s="49">
        <v>0</v>
      </c>
    </row>
    <row r="64" spans="1:15" ht="21" x14ac:dyDescent="0.35">
      <c r="A64" s="10"/>
      <c r="B64" s="10"/>
      <c r="C64" s="111"/>
      <c r="D64" s="16" t="s">
        <v>137</v>
      </c>
      <c r="E64" s="17" t="s">
        <v>6</v>
      </c>
      <c r="F64" s="13">
        <v>30</v>
      </c>
      <c r="G64" s="48">
        <v>16</v>
      </c>
      <c r="H64" s="49">
        <v>0</v>
      </c>
      <c r="I64" s="48">
        <v>2</v>
      </c>
      <c r="J64" s="49">
        <v>0</v>
      </c>
      <c r="K64">
        <f>SUM(F59:F64)</f>
        <v>418</v>
      </c>
      <c r="L64">
        <f t="shared" ref="L64:O64" si="6">SUM(G59:G64)</f>
        <v>92</v>
      </c>
      <c r="M64">
        <f t="shared" si="6"/>
        <v>3</v>
      </c>
      <c r="N64">
        <f t="shared" si="6"/>
        <v>10</v>
      </c>
      <c r="O64">
        <f t="shared" si="6"/>
        <v>2</v>
      </c>
    </row>
    <row r="65" spans="1:15" ht="21" x14ac:dyDescent="0.35">
      <c r="A65" s="4" t="s">
        <v>586</v>
      </c>
      <c r="B65" s="4" t="s">
        <v>587</v>
      </c>
      <c r="C65" s="98">
        <v>1146</v>
      </c>
      <c r="D65" s="16" t="s">
        <v>138</v>
      </c>
      <c r="E65" s="17" t="s">
        <v>17</v>
      </c>
      <c r="F65" s="12">
        <v>56</v>
      </c>
      <c r="G65" s="51">
        <v>14</v>
      </c>
      <c r="H65" s="50">
        <v>0</v>
      </c>
      <c r="I65" s="51">
        <v>2</v>
      </c>
      <c r="J65" s="50">
        <v>0</v>
      </c>
    </row>
    <row r="66" spans="1:15" ht="21" x14ac:dyDescent="0.35">
      <c r="A66" s="5"/>
      <c r="B66" s="5"/>
      <c r="C66" s="112"/>
      <c r="D66" s="16" t="s">
        <v>138</v>
      </c>
      <c r="E66" s="17" t="s">
        <v>2</v>
      </c>
      <c r="F66" s="12">
        <v>47</v>
      </c>
      <c r="G66" s="51">
        <v>15</v>
      </c>
      <c r="H66" s="51">
        <v>14</v>
      </c>
      <c r="I66" s="50">
        <v>0</v>
      </c>
      <c r="J66" s="50">
        <v>0</v>
      </c>
    </row>
    <row r="67" spans="1:15" ht="21" x14ac:dyDescent="0.35">
      <c r="A67" s="5"/>
      <c r="B67" s="5"/>
      <c r="C67" s="112"/>
      <c r="D67" s="16" t="s">
        <v>138</v>
      </c>
      <c r="E67" s="17" t="s">
        <v>3</v>
      </c>
      <c r="F67" s="12">
        <v>52</v>
      </c>
      <c r="G67" s="51">
        <v>6</v>
      </c>
      <c r="H67" s="51">
        <v>5</v>
      </c>
      <c r="I67" s="51">
        <v>1</v>
      </c>
      <c r="J67" s="50">
        <v>0</v>
      </c>
    </row>
    <row r="68" spans="1:15" ht="21" x14ac:dyDescent="0.35">
      <c r="A68" s="5"/>
      <c r="B68" s="5"/>
      <c r="C68" s="112"/>
      <c r="D68" s="16" t="s">
        <v>138</v>
      </c>
      <c r="E68" s="17" t="s">
        <v>4</v>
      </c>
      <c r="F68" s="12">
        <v>72</v>
      </c>
      <c r="G68" s="51">
        <v>20</v>
      </c>
      <c r="H68" s="51">
        <v>1</v>
      </c>
      <c r="I68" s="51">
        <v>0</v>
      </c>
      <c r="J68" s="50">
        <v>1</v>
      </c>
    </row>
    <row r="69" spans="1:15" ht="21" x14ac:dyDescent="0.35">
      <c r="A69" s="5"/>
      <c r="B69" s="5"/>
      <c r="C69" s="112"/>
      <c r="D69" s="16" t="s">
        <v>138</v>
      </c>
      <c r="E69" s="17" t="s">
        <v>5</v>
      </c>
      <c r="F69" s="12">
        <v>39</v>
      </c>
      <c r="G69" s="51">
        <v>21</v>
      </c>
      <c r="H69" s="50">
        <v>0</v>
      </c>
      <c r="I69" s="51">
        <v>3</v>
      </c>
      <c r="J69" s="50">
        <v>0</v>
      </c>
    </row>
    <row r="70" spans="1:15" ht="21" x14ac:dyDescent="0.35">
      <c r="A70" s="5"/>
      <c r="B70" s="5"/>
      <c r="C70" s="112"/>
      <c r="D70" s="16" t="s">
        <v>138</v>
      </c>
      <c r="E70" s="17" t="s">
        <v>6</v>
      </c>
      <c r="F70" s="12">
        <v>84</v>
      </c>
      <c r="G70" s="51">
        <v>12</v>
      </c>
      <c r="H70" s="51">
        <v>3</v>
      </c>
      <c r="I70" s="51">
        <v>2</v>
      </c>
      <c r="J70" s="50">
        <v>0</v>
      </c>
    </row>
    <row r="71" spans="1:15" ht="21" x14ac:dyDescent="0.35">
      <c r="A71" s="5"/>
      <c r="B71" s="5"/>
      <c r="C71" s="112"/>
      <c r="D71" s="16" t="s">
        <v>138</v>
      </c>
      <c r="E71" s="17" t="s">
        <v>7</v>
      </c>
      <c r="F71" s="12">
        <v>30</v>
      </c>
      <c r="G71" s="51">
        <v>11</v>
      </c>
      <c r="H71" s="50">
        <v>0</v>
      </c>
      <c r="I71" s="51">
        <v>1</v>
      </c>
      <c r="J71" s="50">
        <v>0</v>
      </c>
    </row>
    <row r="72" spans="1:15" ht="21" x14ac:dyDescent="0.35">
      <c r="A72" s="5"/>
      <c r="B72" s="5"/>
      <c r="C72" s="112"/>
      <c r="D72" s="16" t="s">
        <v>138</v>
      </c>
      <c r="E72" s="17" t="s">
        <v>8</v>
      </c>
      <c r="F72" s="12">
        <v>36</v>
      </c>
      <c r="G72" s="51">
        <v>21</v>
      </c>
      <c r="H72" s="50">
        <v>0</v>
      </c>
      <c r="I72" s="51">
        <v>7</v>
      </c>
      <c r="J72" s="50">
        <v>0</v>
      </c>
      <c r="K72">
        <f>SUM(F65:F72)</f>
        <v>416</v>
      </c>
      <c r="L72">
        <f t="shared" ref="L72:O72" si="7">SUM(G65:G72)</f>
        <v>120</v>
      </c>
      <c r="M72">
        <f t="shared" si="7"/>
        <v>23</v>
      </c>
      <c r="N72">
        <f t="shared" si="7"/>
        <v>16</v>
      </c>
      <c r="O72">
        <f t="shared" si="7"/>
        <v>1</v>
      </c>
    </row>
    <row r="73" spans="1:15" ht="21" x14ac:dyDescent="0.35">
      <c r="A73" s="9" t="s">
        <v>588</v>
      </c>
      <c r="B73" s="9" t="s">
        <v>589</v>
      </c>
      <c r="C73" s="96">
        <v>1269</v>
      </c>
      <c r="D73" s="16" t="s">
        <v>139</v>
      </c>
      <c r="E73" s="17" t="s">
        <v>17</v>
      </c>
      <c r="F73" s="13">
        <v>160</v>
      </c>
      <c r="G73" s="48">
        <v>45</v>
      </c>
      <c r="H73" s="49">
        <v>3</v>
      </c>
      <c r="I73" s="48">
        <v>6</v>
      </c>
      <c r="J73" s="49">
        <v>1</v>
      </c>
    </row>
    <row r="74" spans="1:15" ht="21" x14ac:dyDescent="0.35">
      <c r="A74" s="10"/>
      <c r="B74" s="10"/>
      <c r="C74" s="111"/>
      <c r="D74" s="16" t="s">
        <v>139</v>
      </c>
      <c r="E74" s="17" t="s">
        <v>2</v>
      </c>
      <c r="F74" s="13">
        <v>43</v>
      </c>
      <c r="G74" s="48">
        <v>20</v>
      </c>
      <c r="H74" s="49">
        <v>0</v>
      </c>
      <c r="I74" s="48">
        <v>1</v>
      </c>
      <c r="J74" s="49">
        <v>0</v>
      </c>
    </row>
    <row r="75" spans="1:15" ht="21" x14ac:dyDescent="0.35">
      <c r="A75" s="10"/>
      <c r="B75" s="10"/>
      <c r="C75" s="111"/>
      <c r="D75" s="16" t="s">
        <v>139</v>
      </c>
      <c r="E75" s="17" t="s">
        <v>3</v>
      </c>
      <c r="F75" s="13">
        <v>19</v>
      </c>
      <c r="G75" s="48">
        <v>17</v>
      </c>
      <c r="H75" s="49">
        <v>0</v>
      </c>
      <c r="I75" s="48">
        <v>1</v>
      </c>
      <c r="J75" s="49">
        <v>0</v>
      </c>
    </row>
    <row r="76" spans="1:15" ht="21" x14ac:dyDescent="0.35">
      <c r="A76" s="10"/>
      <c r="B76" s="10"/>
      <c r="C76" s="111"/>
      <c r="D76" s="16" t="s">
        <v>139</v>
      </c>
      <c r="E76" s="17" t="s">
        <v>4</v>
      </c>
      <c r="F76" s="13">
        <v>36</v>
      </c>
      <c r="G76" s="48">
        <v>20</v>
      </c>
      <c r="H76" s="48">
        <v>8</v>
      </c>
      <c r="I76" s="49">
        <v>0</v>
      </c>
      <c r="J76" s="49">
        <v>1</v>
      </c>
    </row>
    <row r="77" spans="1:15" ht="21" x14ac:dyDescent="0.35">
      <c r="A77" s="10"/>
      <c r="B77" s="10"/>
      <c r="C77" s="111"/>
      <c r="D77" s="16" t="s">
        <v>139</v>
      </c>
      <c r="E77" s="17" t="s">
        <v>5</v>
      </c>
      <c r="F77" s="13">
        <v>20</v>
      </c>
      <c r="G77" s="48">
        <v>26</v>
      </c>
      <c r="H77" s="49">
        <v>0</v>
      </c>
      <c r="I77" s="48">
        <v>3</v>
      </c>
      <c r="J77" s="49">
        <v>0</v>
      </c>
    </row>
    <row r="78" spans="1:15" ht="21" x14ac:dyDescent="0.35">
      <c r="A78" s="10"/>
      <c r="B78" s="10"/>
      <c r="C78" s="111"/>
      <c r="D78" s="16" t="s">
        <v>139</v>
      </c>
      <c r="E78" s="17" t="s">
        <v>6</v>
      </c>
      <c r="F78" s="13">
        <v>18</v>
      </c>
      <c r="G78" s="48">
        <v>26</v>
      </c>
      <c r="H78" s="49">
        <v>0</v>
      </c>
      <c r="I78" s="49">
        <v>0</v>
      </c>
      <c r="J78" s="49">
        <v>0</v>
      </c>
    </row>
    <row r="79" spans="1:15" ht="21" x14ac:dyDescent="0.35">
      <c r="A79" s="10"/>
      <c r="B79" s="10"/>
      <c r="C79" s="111"/>
      <c r="D79" s="16" t="s">
        <v>139</v>
      </c>
      <c r="E79" s="17" t="s">
        <v>7</v>
      </c>
      <c r="F79" s="13">
        <v>25</v>
      </c>
      <c r="G79" s="48">
        <v>7</v>
      </c>
      <c r="H79" s="49">
        <v>0</v>
      </c>
      <c r="I79" s="49">
        <v>0</v>
      </c>
      <c r="J79" s="49">
        <v>0</v>
      </c>
    </row>
    <row r="80" spans="1:15" ht="21" x14ac:dyDescent="0.35">
      <c r="A80" s="10"/>
      <c r="B80" s="10"/>
      <c r="C80" s="111"/>
      <c r="D80" s="16" t="s">
        <v>139</v>
      </c>
      <c r="E80" s="17" t="s">
        <v>8</v>
      </c>
      <c r="F80" s="13">
        <v>43</v>
      </c>
      <c r="G80" s="48">
        <v>10</v>
      </c>
      <c r="H80" s="48">
        <v>1</v>
      </c>
      <c r="I80" s="48">
        <v>1</v>
      </c>
      <c r="J80" s="49">
        <v>1</v>
      </c>
    </row>
    <row r="81" spans="1:15" ht="21" x14ac:dyDescent="0.35">
      <c r="A81" s="10"/>
      <c r="B81" s="10"/>
      <c r="C81" s="111"/>
      <c r="D81" s="16" t="s">
        <v>139</v>
      </c>
      <c r="E81" s="17" t="s">
        <v>9</v>
      </c>
      <c r="F81" s="13">
        <v>52</v>
      </c>
      <c r="G81" s="48">
        <v>10</v>
      </c>
      <c r="H81" s="48">
        <v>1</v>
      </c>
      <c r="I81" s="49">
        <v>0</v>
      </c>
      <c r="J81" s="49">
        <v>0</v>
      </c>
    </row>
    <row r="82" spans="1:15" ht="21" x14ac:dyDescent="0.35">
      <c r="A82" s="10"/>
      <c r="B82" s="10"/>
      <c r="C82" s="111"/>
      <c r="D82" s="16" t="s">
        <v>139</v>
      </c>
      <c r="E82" s="17" t="s">
        <v>11</v>
      </c>
      <c r="F82" s="13">
        <v>49</v>
      </c>
      <c r="G82" s="48">
        <v>3</v>
      </c>
      <c r="H82" s="49">
        <v>0</v>
      </c>
      <c r="I82" s="48">
        <v>2</v>
      </c>
      <c r="J82" s="49">
        <v>0</v>
      </c>
    </row>
    <row r="83" spans="1:15" ht="21" x14ac:dyDescent="0.35">
      <c r="A83" s="10"/>
      <c r="B83" s="10"/>
      <c r="C83" s="111"/>
      <c r="D83" s="16" t="s">
        <v>139</v>
      </c>
      <c r="E83" s="17" t="s">
        <v>12</v>
      </c>
      <c r="F83" s="13">
        <v>39</v>
      </c>
      <c r="G83" s="48">
        <v>16</v>
      </c>
      <c r="H83" s="49">
        <v>0</v>
      </c>
      <c r="I83" s="48">
        <v>4</v>
      </c>
      <c r="J83" s="49">
        <v>0</v>
      </c>
    </row>
    <row r="84" spans="1:15" ht="21" x14ac:dyDescent="0.35">
      <c r="A84" s="10"/>
      <c r="B84" s="10"/>
      <c r="C84" s="111"/>
      <c r="D84" s="16" t="s">
        <v>139</v>
      </c>
      <c r="E84" s="17" t="s">
        <v>13</v>
      </c>
      <c r="F84" s="13">
        <v>58</v>
      </c>
      <c r="G84" s="48">
        <v>20</v>
      </c>
      <c r="H84" s="48">
        <v>1</v>
      </c>
      <c r="I84" s="48">
        <v>2</v>
      </c>
      <c r="J84" s="49">
        <v>0</v>
      </c>
      <c r="K84">
        <f>SUM(F73:F84)</f>
        <v>562</v>
      </c>
      <c r="L84">
        <f t="shared" ref="L84:O84" si="8">SUM(G73:G84)</f>
        <v>220</v>
      </c>
      <c r="M84">
        <f t="shared" si="8"/>
        <v>14</v>
      </c>
      <c r="N84">
        <f t="shared" si="8"/>
        <v>20</v>
      </c>
      <c r="O84">
        <f t="shared" si="8"/>
        <v>3</v>
      </c>
    </row>
    <row r="85" spans="1:15" ht="21" x14ac:dyDescent="0.35">
      <c r="A85" s="4" t="s">
        <v>590</v>
      </c>
      <c r="B85" s="4" t="s">
        <v>591</v>
      </c>
      <c r="C85" s="98">
        <v>832</v>
      </c>
      <c r="D85" s="16" t="s">
        <v>140</v>
      </c>
      <c r="E85" s="17" t="s">
        <v>17</v>
      </c>
      <c r="F85" s="12">
        <v>39</v>
      </c>
      <c r="G85" s="51">
        <v>13</v>
      </c>
      <c r="H85" s="51">
        <v>4</v>
      </c>
      <c r="I85" s="51">
        <v>3</v>
      </c>
      <c r="J85" s="50">
        <v>1</v>
      </c>
    </row>
    <row r="86" spans="1:15" ht="21" x14ac:dyDescent="0.35">
      <c r="A86" s="5"/>
      <c r="B86" s="5"/>
      <c r="C86" s="112"/>
      <c r="D86" s="16" t="s">
        <v>140</v>
      </c>
      <c r="E86" s="17" t="s">
        <v>2</v>
      </c>
      <c r="F86" s="12">
        <v>52</v>
      </c>
      <c r="G86" s="51">
        <v>8</v>
      </c>
      <c r="H86" s="51">
        <v>3</v>
      </c>
      <c r="I86" s="51">
        <v>2</v>
      </c>
      <c r="J86" s="50">
        <v>0</v>
      </c>
    </row>
    <row r="87" spans="1:15" ht="21" x14ac:dyDescent="0.35">
      <c r="A87" s="5"/>
      <c r="B87" s="5"/>
      <c r="C87" s="112"/>
      <c r="D87" s="16" t="s">
        <v>140</v>
      </c>
      <c r="E87" s="17" t="s">
        <v>3</v>
      </c>
      <c r="F87" s="12">
        <v>98</v>
      </c>
      <c r="G87" s="51">
        <v>24</v>
      </c>
      <c r="H87" s="50">
        <v>0</v>
      </c>
      <c r="I87" s="51">
        <v>2</v>
      </c>
      <c r="J87" s="50">
        <v>0</v>
      </c>
    </row>
    <row r="88" spans="1:15" ht="21" x14ac:dyDescent="0.35">
      <c r="A88" s="5"/>
      <c r="B88" s="5"/>
      <c r="C88" s="112"/>
      <c r="D88" s="16" t="s">
        <v>140</v>
      </c>
      <c r="E88" s="17" t="s">
        <v>4</v>
      </c>
      <c r="F88" s="12">
        <v>45</v>
      </c>
      <c r="G88" s="51">
        <v>4</v>
      </c>
      <c r="H88" s="50">
        <v>0</v>
      </c>
      <c r="I88" s="50">
        <v>0</v>
      </c>
      <c r="J88" s="50">
        <v>0</v>
      </c>
    </row>
    <row r="89" spans="1:15" ht="21" x14ac:dyDescent="0.35">
      <c r="A89" s="5"/>
      <c r="B89" s="5"/>
      <c r="C89" s="112"/>
      <c r="D89" s="16" t="s">
        <v>140</v>
      </c>
      <c r="E89" s="17" t="s">
        <v>5</v>
      </c>
      <c r="F89" s="12">
        <v>50</v>
      </c>
      <c r="G89" s="50">
        <v>0</v>
      </c>
      <c r="H89" s="50">
        <v>0</v>
      </c>
      <c r="I89" s="51">
        <v>1</v>
      </c>
      <c r="J89" s="50">
        <v>0</v>
      </c>
      <c r="K89">
        <f>SUM(F85:F89)</f>
        <v>284</v>
      </c>
      <c r="L89">
        <f t="shared" ref="L89:O89" si="9">SUM(G85:G89)</f>
        <v>49</v>
      </c>
      <c r="M89">
        <f t="shared" si="9"/>
        <v>7</v>
      </c>
      <c r="N89">
        <f t="shared" si="9"/>
        <v>8</v>
      </c>
      <c r="O89">
        <f t="shared" si="9"/>
        <v>1</v>
      </c>
    </row>
    <row r="90" spans="1:15" ht="21" x14ac:dyDescent="0.35">
      <c r="A90" s="9" t="s">
        <v>592</v>
      </c>
      <c r="B90" s="9" t="s">
        <v>373</v>
      </c>
      <c r="C90" s="96">
        <v>927</v>
      </c>
      <c r="D90" s="16" t="s">
        <v>81</v>
      </c>
      <c r="E90" s="17" t="s">
        <v>17</v>
      </c>
      <c r="F90" s="13">
        <v>88</v>
      </c>
      <c r="G90" s="48">
        <v>22</v>
      </c>
      <c r="H90" s="49">
        <v>0</v>
      </c>
      <c r="I90" s="48">
        <v>0</v>
      </c>
      <c r="J90" s="49">
        <v>0</v>
      </c>
    </row>
    <row r="91" spans="1:15" ht="21" x14ac:dyDescent="0.35">
      <c r="A91" s="10"/>
      <c r="B91" s="10"/>
      <c r="C91" s="111"/>
      <c r="D91" s="16" t="s">
        <v>81</v>
      </c>
      <c r="E91" s="17" t="s">
        <v>2</v>
      </c>
      <c r="F91" s="13">
        <v>41</v>
      </c>
      <c r="G91" s="48">
        <v>7</v>
      </c>
      <c r="H91" s="49">
        <v>0</v>
      </c>
      <c r="I91" s="48">
        <v>1</v>
      </c>
      <c r="J91" s="49">
        <v>0</v>
      </c>
    </row>
    <row r="92" spans="1:15" ht="21" x14ac:dyDescent="0.35">
      <c r="A92" s="10"/>
      <c r="B92" s="10"/>
      <c r="C92" s="111"/>
      <c r="D92" s="16" t="s">
        <v>81</v>
      </c>
      <c r="E92" s="17" t="s">
        <v>3</v>
      </c>
      <c r="F92" s="13">
        <v>97</v>
      </c>
      <c r="G92" s="48">
        <v>25</v>
      </c>
      <c r="H92" s="49">
        <v>0</v>
      </c>
      <c r="I92" s="48">
        <v>1</v>
      </c>
      <c r="J92" s="49">
        <v>0</v>
      </c>
    </row>
    <row r="93" spans="1:15" ht="21" x14ac:dyDescent="0.35">
      <c r="A93" s="10"/>
      <c r="B93" s="10"/>
      <c r="C93" s="111"/>
      <c r="D93" s="16" t="s">
        <v>81</v>
      </c>
      <c r="E93" s="17" t="s">
        <v>4</v>
      </c>
      <c r="F93" s="13">
        <v>47</v>
      </c>
      <c r="G93" s="48">
        <v>23</v>
      </c>
      <c r="H93" s="48">
        <v>11</v>
      </c>
      <c r="I93" s="48">
        <v>3</v>
      </c>
      <c r="J93" s="48">
        <v>0</v>
      </c>
    </row>
    <row r="94" spans="1:15" ht="21" x14ac:dyDescent="0.35">
      <c r="A94" s="10"/>
      <c r="B94" s="10"/>
      <c r="C94" s="111"/>
      <c r="D94" s="16" t="s">
        <v>81</v>
      </c>
      <c r="E94" s="17" t="s">
        <v>5</v>
      </c>
      <c r="F94" s="13">
        <v>88</v>
      </c>
      <c r="G94" s="48">
        <v>24</v>
      </c>
      <c r="H94" s="48">
        <v>1</v>
      </c>
      <c r="I94" s="48">
        <v>4</v>
      </c>
      <c r="J94" s="49">
        <v>0</v>
      </c>
      <c r="K94">
        <f>SUM(F90:F94)</f>
        <v>361</v>
      </c>
      <c r="L94">
        <f t="shared" ref="L94:O94" si="10">SUM(G90:G94)</f>
        <v>101</v>
      </c>
      <c r="M94">
        <f t="shared" si="10"/>
        <v>12</v>
      </c>
      <c r="N94">
        <f t="shared" si="10"/>
        <v>9</v>
      </c>
      <c r="O94">
        <f t="shared" si="10"/>
        <v>0</v>
      </c>
    </row>
    <row r="95" spans="1:15" ht="21" x14ac:dyDescent="0.35">
      <c r="A95" s="4" t="s">
        <v>593</v>
      </c>
      <c r="B95" s="4" t="s">
        <v>594</v>
      </c>
      <c r="C95" s="98">
        <v>1257</v>
      </c>
      <c r="D95" s="16" t="s">
        <v>141</v>
      </c>
      <c r="E95" s="17" t="s">
        <v>17</v>
      </c>
      <c r="F95" s="12">
        <v>125</v>
      </c>
      <c r="G95" s="51">
        <v>19</v>
      </c>
      <c r="H95" s="50">
        <v>0</v>
      </c>
      <c r="I95" s="51">
        <v>3</v>
      </c>
      <c r="J95" s="51">
        <v>1</v>
      </c>
    </row>
    <row r="96" spans="1:15" ht="21" x14ac:dyDescent="0.35">
      <c r="A96" s="5"/>
      <c r="B96" s="5"/>
      <c r="C96" s="112"/>
      <c r="D96" s="16" t="s">
        <v>141</v>
      </c>
      <c r="E96" s="17" t="s">
        <v>2</v>
      </c>
      <c r="F96" s="12">
        <v>56</v>
      </c>
      <c r="G96" s="51">
        <v>8</v>
      </c>
      <c r="H96" s="51">
        <v>9</v>
      </c>
      <c r="I96" s="51">
        <v>3</v>
      </c>
      <c r="J96" s="50">
        <v>1</v>
      </c>
    </row>
    <row r="97" spans="1:15" ht="21" x14ac:dyDescent="0.35">
      <c r="A97" s="5"/>
      <c r="B97" s="5"/>
      <c r="C97" s="112"/>
      <c r="D97" s="16" t="s">
        <v>141</v>
      </c>
      <c r="E97" s="17" t="s">
        <v>3</v>
      </c>
      <c r="F97" s="12">
        <v>40</v>
      </c>
      <c r="G97" s="51">
        <v>2</v>
      </c>
      <c r="H97" s="50">
        <v>0</v>
      </c>
      <c r="I97" s="51">
        <v>0</v>
      </c>
      <c r="J97" s="50">
        <v>0</v>
      </c>
    </row>
    <row r="98" spans="1:15" ht="21" x14ac:dyDescent="0.35">
      <c r="A98" s="5"/>
      <c r="B98" s="5"/>
      <c r="C98" s="112"/>
      <c r="D98" s="16" t="s">
        <v>141</v>
      </c>
      <c r="E98" s="17" t="s">
        <v>4</v>
      </c>
      <c r="F98" s="12">
        <v>53</v>
      </c>
      <c r="G98" s="51">
        <v>12</v>
      </c>
      <c r="H98" s="50">
        <v>0</v>
      </c>
      <c r="I98" s="51">
        <v>1</v>
      </c>
      <c r="J98" s="50">
        <v>0</v>
      </c>
    </row>
    <row r="99" spans="1:15" ht="21" x14ac:dyDescent="0.35">
      <c r="A99" s="5"/>
      <c r="B99" s="5"/>
      <c r="C99" s="112"/>
      <c r="D99" s="16" t="s">
        <v>141</v>
      </c>
      <c r="E99" s="17" t="s">
        <v>5</v>
      </c>
      <c r="F99" s="12">
        <v>46</v>
      </c>
      <c r="G99" s="51">
        <v>15</v>
      </c>
      <c r="H99" s="51">
        <v>4</v>
      </c>
      <c r="I99" s="51">
        <v>3</v>
      </c>
      <c r="J99" s="50">
        <v>0</v>
      </c>
    </row>
    <row r="100" spans="1:15" ht="21" x14ac:dyDescent="0.35">
      <c r="A100" s="5"/>
      <c r="B100" s="5"/>
      <c r="C100" s="112"/>
      <c r="D100" s="16" t="s">
        <v>141</v>
      </c>
      <c r="E100" s="17" t="s">
        <v>6</v>
      </c>
      <c r="F100" s="12">
        <v>176</v>
      </c>
      <c r="G100" s="51">
        <v>91</v>
      </c>
      <c r="H100" s="50">
        <v>0</v>
      </c>
      <c r="I100" s="51">
        <v>7</v>
      </c>
      <c r="J100" s="50">
        <v>0</v>
      </c>
      <c r="K100">
        <f>SUM(F95:F100)</f>
        <v>496</v>
      </c>
      <c r="L100">
        <f t="shared" ref="L100:O100" si="11">SUM(G95:G100)</f>
        <v>147</v>
      </c>
      <c r="M100">
        <f t="shared" si="11"/>
        <v>13</v>
      </c>
      <c r="N100">
        <f t="shared" si="11"/>
        <v>17</v>
      </c>
      <c r="O100">
        <f t="shared" si="11"/>
        <v>2</v>
      </c>
    </row>
    <row r="101" spans="1:15" ht="21" x14ac:dyDescent="0.35">
      <c r="A101" s="9" t="s">
        <v>595</v>
      </c>
      <c r="B101" s="9" t="s">
        <v>596</v>
      </c>
      <c r="C101" s="96">
        <v>3839</v>
      </c>
      <c r="D101" s="16" t="s">
        <v>142</v>
      </c>
      <c r="E101" s="17" t="s">
        <v>0</v>
      </c>
      <c r="F101" s="13">
        <v>1</v>
      </c>
      <c r="G101" s="49">
        <v>0</v>
      </c>
      <c r="H101" s="49">
        <v>0</v>
      </c>
      <c r="I101" s="49">
        <v>0</v>
      </c>
      <c r="J101" s="49">
        <v>1</v>
      </c>
    </row>
    <row r="102" spans="1:15" ht="21" x14ac:dyDescent="0.35">
      <c r="A102" s="10"/>
      <c r="B102" s="10"/>
      <c r="C102" s="111"/>
      <c r="D102" s="16" t="s">
        <v>142</v>
      </c>
      <c r="E102" s="17" t="s">
        <v>17</v>
      </c>
      <c r="F102" s="13">
        <v>122</v>
      </c>
      <c r="G102" s="48">
        <v>32</v>
      </c>
      <c r="H102" s="48">
        <v>26</v>
      </c>
      <c r="I102" s="48">
        <v>11</v>
      </c>
      <c r="J102" s="48">
        <v>2</v>
      </c>
    </row>
    <row r="103" spans="1:15" ht="21" x14ac:dyDescent="0.35">
      <c r="A103" s="10"/>
      <c r="B103" s="10"/>
      <c r="C103" s="111"/>
      <c r="D103" s="16" t="s">
        <v>142</v>
      </c>
      <c r="E103" s="17" t="s">
        <v>2</v>
      </c>
      <c r="F103" s="13">
        <v>170</v>
      </c>
      <c r="G103" s="48">
        <v>31</v>
      </c>
      <c r="H103" s="48">
        <v>9</v>
      </c>
      <c r="I103" s="48">
        <v>3</v>
      </c>
      <c r="J103" s="49">
        <v>2</v>
      </c>
    </row>
    <row r="104" spans="1:15" ht="21" x14ac:dyDescent="0.35">
      <c r="A104" s="10"/>
      <c r="B104" s="10"/>
      <c r="C104" s="111"/>
      <c r="D104" s="16" t="s">
        <v>142</v>
      </c>
      <c r="E104" s="17" t="s">
        <v>3</v>
      </c>
      <c r="F104" s="13">
        <v>174</v>
      </c>
      <c r="G104" s="48">
        <v>34</v>
      </c>
      <c r="H104" s="48">
        <v>2</v>
      </c>
      <c r="I104" s="48">
        <v>0</v>
      </c>
      <c r="J104" s="48">
        <v>0</v>
      </c>
    </row>
    <row r="105" spans="1:15" ht="21" x14ac:dyDescent="0.35">
      <c r="A105" s="10"/>
      <c r="B105" s="10"/>
      <c r="C105" s="111"/>
      <c r="D105" s="16" t="s">
        <v>142</v>
      </c>
      <c r="E105" s="17" t="s">
        <v>4</v>
      </c>
      <c r="F105" s="13">
        <v>62</v>
      </c>
      <c r="G105" s="48">
        <v>18</v>
      </c>
      <c r="H105" s="48">
        <v>3</v>
      </c>
      <c r="I105" s="48">
        <v>5</v>
      </c>
      <c r="J105" s="48">
        <v>3</v>
      </c>
    </row>
    <row r="106" spans="1:15" ht="21" x14ac:dyDescent="0.35">
      <c r="A106" s="10"/>
      <c r="B106" s="10"/>
      <c r="C106" s="111"/>
      <c r="D106" s="16" t="s">
        <v>142</v>
      </c>
      <c r="E106" s="17" t="s">
        <v>5</v>
      </c>
      <c r="F106" s="13">
        <v>173</v>
      </c>
      <c r="G106" s="48">
        <v>19</v>
      </c>
      <c r="H106" s="48">
        <v>4</v>
      </c>
      <c r="I106" s="48">
        <v>4</v>
      </c>
      <c r="J106" s="49">
        <v>2</v>
      </c>
    </row>
    <row r="107" spans="1:15" ht="21" x14ac:dyDescent="0.35">
      <c r="A107" s="10"/>
      <c r="B107" s="10"/>
      <c r="C107" s="111"/>
      <c r="D107" s="16" t="s">
        <v>142</v>
      </c>
      <c r="E107" s="17" t="s">
        <v>6</v>
      </c>
      <c r="F107" s="13">
        <v>161</v>
      </c>
      <c r="G107" s="48">
        <v>10</v>
      </c>
      <c r="H107" s="48">
        <v>9</v>
      </c>
      <c r="I107" s="48">
        <v>8</v>
      </c>
      <c r="J107" s="49">
        <v>1</v>
      </c>
    </row>
    <row r="108" spans="1:15" ht="21" x14ac:dyDescent="0.35">
      <c r="A108" s="10"/>
      <c r="B108" s="10"/>
      <c r="C108" s="111"/>
      <c r="D108" s="16" t="s">
        <v>142</v>
      </c>
      <c r="E108" s="17" t="s">
        <v>7</v>
      </c>
      <c r="F108" s="13">
        <v>94</v>
      </c>
      <c r="G108" s="48">
        <v>33</v>
      </c>
      <c r="H108" s="48">
        <v>13</v>
      </c>
      <c r="I108" s="48">
        <v>4</v>
      </c>
      <c r="J108" s="49">
        <v>0</v>
      </c>
    </row>
    <row r="109" spans="1:15" ht="21" x14ac:dyDescent="0.35">
      <c r="A109" s="10"/>
      <c r="B109" s="10"/>
      <c r="C109" s="111"/>
      <c r="D109" s="16" t="s">
        <v>142</v>
      </c>
      <c r="E109" s="17" t="s">
        <v>8</v>
      </c>
      <c r="F109" s="13">
        <v>101</v>
      </c>
      <c r="G109" s="48">
        <v>16</v>
      </c>
      <c r="H109" s="48">
        <v>2</v>
      </c>
      <c r="I109" s="48">
        <v>1</v>
      </c>
      <c r="J109" s="49">
        <v>0</v>
      </c>
    </row>
    <row r="110" spans="1:15" ht="21" x14ac:dyDescent="0.35">
      <c r="A110" s="10"/>
      <c r="B110" s="10"/>
      <c r="C110" s="111"/>
      <c r="D110" s="16" t="s">
        <v>142</v>
      </c>
      <c r="E110" s="17" t="s">
        <v>9</v>
      </c>
      <c r="F110" s="13">
        <v>90</v>
      </c>
      <c r="G110" s="48">
        <v>29</v>
      </c>
      <c r="H110" s="48">
        <v>8</v>
      </c>
      <c r="I110" s="48">
        <v>4</v>
      </c>
      <c r="J110" s="49">
        <v>1</v>
      </c>
    </row>
    <row r="111" spans="1:15" ht="21" x14ac:dyDescent="0.35">
      <c r="A111" s="10"/>
      <c r="B111" s="10"/>
      <c r="C111" s="111"/>
      <c r="D111" s="16" t="s">
        <v>142</v>
      </c>
      <c r="E111" s="17" t="s">
        <v>11</v>
      </c>
      <c r="F111" s="13">
        <v>40</v>
      </c>
      <c r="G111" s="48">
        <v>7</v>
      </c>
      <c r="H111" s="49">
        <v>0</v>
      </c>
      <c r="I111" s="48">
        <v>3</v>
      </c>
      <c r="J111" s="49">
        <v>0</v>
      </c>
    </row>
    <row r="112" spans="1:15" ht="21" x14ac:dyDescent="0.35">
      <c r="A112" s="10"/>
      <c r="B112" s="10"/>
      <c r="C112" s="111"/>
      <c r="D112" s="16" t="s">
        <v>142</v>
      </c>
      <c r="E112" s="17" t="s">
        <v>12</v>
      </c>
      <c r="F112" s="13">
        <v>97</v>
      </c>
      <c r="G112" s="48">
        <v>12</v>
      </c>
      <c r="H112" s="48">
        <v>13</v>
      </c>
      <c r="I112" s="48">
        <v>4</v>
      </c>
      <c r="J112" s="49">
        <v>0</v>
      </c>
    </row>
    <row r="113" spans="1:15" ht="21" x14ac:dyDescent="0.35">
      <c r="A113" s="10"/>
      <c r="B113" s="10"/>
      <c r="C113" s="111"/>
      <c r="D113" s="16" t="s">
        <v>142</v>
      </c>
      <c r="E113" s="17" t="s">
        <v>15</v>
      </c>
      <c r="F113" s="13">
        <v>1</v>
      </c>
      <c r="G113" s="48">
        <v>3</v>
      </c>
      <c r="H113" s="49">
        <v>0</v>
      </c>
      <c r="I113" s="49">
        <v>0</v>
      </c>
      <c r="J113" s="49">
        <v>0</v>
      </c>
      <c r="K113">
        <f>SUM(F101:F113)</f>
        <v>1286</v>
      </c>
      <c r="L113">
        <f t="shared" ref="L113:O113" si="12">SUM(G101:G113)</f>
        <v>244</v>
      </c>
      <c r="M113">
        <f t="shared" si="12"/>
        <v>89</v>
      </c>
      <c r="N113">
        <f t="shared" si="12"/>
        <v>47</v>
      </c>
      <c r="O113">
        <f t="shared" si="12"/>
        <v>12</v>
      </c>
    </row>
    <row r="114" spans="1:15" ht="21" x14ac:dyDescent="0.35">
      <c r="A114" s="4" t="s">
        <v>597</v>
      </c>
      <c r="B114" s="4" t="s">
        <v>598</v>
      </c>
      <c r="C114" s="98">
        <v>2437</v>
      </c>
      <c r="D114" s="16" t="s">
        <v>143</v>
      </c>
      <c r="E114" s="17" t="s">
        <v>17</v>
      </c>
      <c r="F114" s="12">
        <v>62</v>
      </c>
      <c r="G114" s="51">
        <v>25</v>
      </c>
      <c r="H114" s="51">
        <v>12</v>
      </c>
      <c r="I114" s="51">
        <v>2</v>
      </c>
      <c r="J114" s="50">
        <v>0</v>
      </c>
    </row>
    <row r="115" spans="1:15" ht="21" x14ac:dyDescent="0.35">
      <c r="A115" s="5"/>
      <c r="B115" s="5"/>
      <c r="C115" s="112"/>
      <c r="D115" s="16" t="s">
        <v>143</v>
      </c>
      <c r="E115" s="17" t="s">
        <v>2</v>
      </c>
      <c r="F115" s="12">
        <v>40</v>
      </c>
      <c r="G115" s="51">
        <v>24</v>
      </c>
      <c r="H115" s="51">
        <v>5</v>
      </c>
      <c r="I115" s="51">
        <v>3</v>
      </c>
      <c r="J115" s="50">
        <v>0</v>
      </c>
    </row>
    <row r="116" spans="1:15" ht="21" x14ac:dyDescent="0.35">
      <c r="A116" s="5"/>
      <c r="B116" s="5"/>
      <c r="C116" s="112"/>
      <c r="D116" s="16" t="s">
        <v>143</v>
      </c>
      <c r="E116" s="17" t="s">
        <v>3</v>
      </c>
      <c r="F116" s="12">
        <v>48</v>
      </c>
      <c r="G116" s="51">
        <v>25</v>
      </c>
      <c r="H116" s="51">
        <v>4</v>
      </c>
      <c r="I116" s="50">
        <v>1</v>
      </c>
      <c r="J116" s="50">
        <v>0</v>
      </c>
    </row>
    <row r="117" spans="1:15" ht="21" x14ac:dyDescent="0.35">
      <c r="A117" s="5"/>
      <c r="B117" s="5"/>
      <c r="C117" s="112"/>
      <c r="D117" s="16" t="s">
        <v>143</v>
      </c>
      <c r="E117" s="17" t="s">
        <v>4</v>
      </c>
      <c r="F117" s="12">
        <v>73</v>
      </c>
      <c r="G117" s="51">
        <v>40</v>
      </c>
      <c r="H117" s="50">
        <v>0</v>
      </c>
      <c r="I117" s="51">
        <v>3</v>
      </c>
      <c r="J117" s="50">
        <v>3</v>
      </c>
    </row>
    <row r="118" spans="1:15" ht="21" x14ac:dyDescent="0.35">
      <c r="A118" s="5"/>
      <c r="B118" s="5"/>
      <c r="C118" s="112"/>
      <c r="D118" s="16" t="s">
        <v>143</v>
      </c>
      <c r="E118" s="17" t="s">
        <v>5</v>
      </c>
      <c r="F118" s="12">
        <v>102</v>
      </c>
      <c r="G118" s="51">
        <v>40</v>
      </c>
      <c r="H118" s="51">
        <v>2</v>
      </c>
      <c r="I118" s="51">
        <v>2</v>
      </c>
      <c r="J118" s="50">
        <v>1</v>
      </c>
    </row>
    <row r="119" spans="1:15" ht="21" x14ac:dyDescent="0.35">
      <c r="A119" s="5"/>
      <c r="B119" s="5"/>
      <c r="C119" s="112"/>
      <c r="D119" s="16" t="s">
        <v>143</v>
      </c>
      <c r="E119" s="17" t="s">
        <v>6</v>
      </c>
      <c r="F119" s="12">
        <v>40</v>
      </c>
      <c r="G119" s="51">
        <v>14</v>
      </c>
      <c r="H119" s="50">
        <v>0</v>
      </c>
      <c r="I119" s="50">
        <v>0</v>
      </c>
      <c r="J119" s="50">
        <v>1</v>
      </c>
    </row>
    <row r="120" spans="1:15" ht="21" x14ac:dyDescent="0.35">
      <c r="A120" s="5"/>
      <c r="B120" s="5"/>
      <c r="C120" s="112"/>
      <c r="D120" s="16" t="s">
        <v>143</v>
      </c>
      <c r="E120" s="17" t="s">
        <v>7</v>
      </c>
      <c r="F120" s="12">
        <v>95</v>
      </c>
      <c r="G120" s="51">
        <v>26</v>
      </c>
      <c r="H120" s="51">
        <v>5</v>
      </c>
      <c r="I120" s="51">
        <v>3</v>
      </c>
      <c r="J120" s="50">
        <v>1</v>
      </c>
    </row>
    <row r="121" spans="1:15" ht="21" x14ac:dyDescent="0.35">
      <c r="A121" s="5"/>
      <c r="B121" s="5"/>
      <c r="C121" s="112"/>
      <c r="D121" s="16" t="s">
        <v>143</v>
      </c>
      <c r="E121" s="17" t="s">
        <v>8</v>
      </c>
      <c r="F121" s="12">
        <v>98</v>
      </c>
      <c r="G121" s="51">
        <v>16</v>
      </c>
      <c r="H121" s="51">
        <v>2</v>
      </c>
      <c r="I121" s="51">
        <v>2</v>
      </c>
      <c r="J121" s="50">
        <v>0</v>
      </c>
    </row>
    <row r="122" spans="1:15" ht="21" x14ac:dyDescent="0.35">
      <c r="A122" s="5"/>
      <c r="B122" s="5"/>
      <c r="C122" s="112"/>
      <c r="D122" s="16" t="s">
        <v>143</v>
      </c>
      <c r="E122" s="17" t="s">
        <v>9</v>
      </c>
      <c r="F122" s="12">
        <v>91</v>
      </c>
      <c r="G122" s="51">
        <v>15</v>
      </c>
      <c r="H122" s="51">
        <v>3</v>
      </c>
      <c r="I122" s="51">
        <v>1</v>
      </c>
      <c r="J122" s="50">
        <v>1</v>
      </c>
    </row>
    <row r="123" spans="1:15" ht="21" x14ac:dyDescent="0.35">
      <c r="A123" s="5"/>
      <c r="B123" s="5"/>
      <c r="C123" s="112"/>
      <c r="D123" s="16" t="s">
        <v>143</v>
      </c>
      <c r="E123" s="17" t="s">
        <v>11</v>
      </c>
      <c r="F123" s="12">
        <v>73</v>
      </c>
      <c r="G123" s="51">
        <v>12</v>
      </c>
      <c r="H123" s="50">
        <v>0</v>
      </c>
      <c r="I123" s="51">
        <v>1</v>
      </c>
      <c r="J123" s="50">
        <v>1</v>
      </c>
      <c r="K123">
        <f>SUM(F114:F123)</f>
        <v>722</v>
      </c>
      <c r="L123">
        <f t="shared" ref="L123:O123" si="13">SUM(G114:G123)</f>
        <v>237</v>
      </c>
      <c r="M123">
        <f t="shared" si="13"/>
        <v>33</v>
      </c>
      <c r="N123">
        <f t="shared" si="13"/>
        <v>18</v>
      </c>
      <c r="O123">
        <f t="shared" si="13"/>
        <v>8</v>
      </c>
    </row>
    <row r="124" spans="1:15" ht="21" x14ac:dyDescent="0.35">
      <c r="A124" s="9" t="s">
        <v>599</v>
      </c>
      <c r="B124" s="9" t="s">
        <v>600</v>
      </c>
      <c r="C124" s="96">
        <v>1450</v>
      </c>
      <c r="D124" s="16" t="s">
        <v>144</v>
      </c>
      <c r="E124" s="17" t="s">
        <v>17</v>
      </c>
      <c r="F124" s="13">
        <v>74</v>
      </c>
      <c r="G124" s="48">
        <v>41</v>
      </c>
      <c r="H124" s="49">
        <v>0</v>
      </c>
      <c r="I124" s="48">
        <v>5</v>
      </c>
      <c r="J124" s="49">
        <v>0</v>
      </c>
    </row>
    <row r="125" spans="1:15" ht="21" x14ac:dyDescent="0.35">
      <c r="A125" s="10"/>
      <c r="B125" s="10"/>
      <c r="C125" s="111"/>
      <c r="D125" s="16" t="s">
        <v>144</v>
      </c>
      <c r="E125" s="17" t="s">
        <v>2</v>
      </c>
      <c r="F125" s="13">
        <v>43</v>
      </c>
      <c r="G125" s="48">
        <v>16</v>
      </c>
      <c r="H125" s="48">
        <v>1</v>
      </c>
      <c r="I125" s="48">
        <v>1</v>
      </c>
      <c r="J125" s="49">
        <v>0</v>
      </c>
    </row>
    <row r="126" spans="1:15" ht="21" x14ac:dyDescent="0.35">
      <c r="A126" s="10"/>
      <c r="B126" s="10"/>
      <c r="C126" s="111"/>
      <c r="D126" s="16" t="s">
        <v>144</v>
      </c>
      <c r="E126" s="17" t="s">
        <v>3</v>
      </c>
      <c r="F126" s="13">
        <v>58</v>
      </c>
      <c r="G126" s="48">
        <v>19</v>
      </c>
      <c r="H126" s="48">
        <v>2</v>
      </c>
      <c r="I126" s="48">
        <v>6</v>
      </c>
      <c r="J126" s="49">
        <v>1</v>
      </c>
    </row>
    <row r="127" spans="1:15" ht="21" x14ac:dyDescent="0.35">
      <c r="A127" s="10"/>
      <c r="B127" s="10"/>
      <c r="C127" s="111"/>
      <c r="D127" s="16" t="s">
        <v>144</v>
      </c>
      <c r="E127" s="17" t="s">
        <v>4</v>
      </c>
      <c r="F127" s="13">
        <v>59</v>
      </c>
      <c r="G127" s="48">
        <v>36</v>
      </c>
      <c r="H127" s="48">
        <v>1</v>
      </c>
      <c r="I127" s="48">
        <v>4</v>
      </c>
      <c r="J127" s="48">
        <v>0</v>
      </c>
    </row>
    <row r="128" spans="1:15" ht="21" x14ac:dyDescent="0.35">
      <c r="A128" s="10"/>
      <c r="B128" s="10"/>
      <c r="C128" s="111"/>
      <c r="D128" s="16" t="s">
        <v>144</v>
      </c>
      <c r="E128" s="17" t="s">
        <v>5</v>
      </c>
      <c r="F128" s="13">
        <v>64</v>
      </c>
      <c r="G128" s="48">
        <v>16</v>
      </c>
      <c r="H128" s="48">
        <v>3</v>
      </c>
      <c r="I128" s="48">
        <v>10</v>
      </c>
      <c r="J128" s="48">
        <v>0</v>
      </c>
    </row>
    <row r="129" spans="1:15" ht="21" x14ac:dyDescent="0.35">
      <c r="A129" s="10"/>
      <c r="B129" s="10"/>
      <c r="C129" s="111"/>
      <c r="D129" s="16" t="s">
        <v>144</v>
      </c>
      <c r="E129" s="17" t="s">
        <v>6</v>
      </c>
      <c r="F129" s="13">
        <v>99</v>
      </c>
      <c r="G129" s="48">
        <v>4</v>
      </c>
      <c r="H129" s="48">
        <v>7</v>
      </c>
      <c r="I129" s="49">
        <v>0</v>
      </c>
      <c r="J129" s="48">
        <v>1</v>
      </c>
    </row>
    <row r="130" spans="1:15" ht="21" x14ac:dyDescent="0.35">
      <c r="A130" s="10"/>
      <c r="B130" s="10"/>
      <c r="C130" s="111"/>
      <c r="D130" s="16" t="s">
        <v>144</v>
      </c>
      <c r="E130" s="17" t="s">
        <v>7</v>
      </c>
      <c r="F130" s="13">
        <v>45</v>
      </c>
      <c r="G130" s="48">
        <v>16</v>
      </c>
      <c r="H130" s="49">
        <v>0</v>
      </c>
      <c r="I130" s="48">
        <v>3</v>
      </c>
      <c r="J130" s="49">
        <v>0</v>
      </c>
      <c r="K130">
        <f>SUM(F124:F130)</f>
        <v>442</v>
      </c>
      <c r="L130">
        <f t="shared" ref="L130:O130" si="14">SUM(G124:G130)</f>
        <v>148</v>
      </c>
      <c r="M130">
        <f t="shared" si="14"/>
        <v>14</v>
      </c>
      <c r="N130">
        <f t="shared" si="14"/>
        <v>29</v>
      </c>
      <c r="O130">
        <f t="shared" si="14"/>
        <v>2</v>
      </c>
    </row>
    <row r="131" spans="1:15" ht="21" x14ac:dyDescent="0.35">
      <c r="A131" s="4" t="s">
        <v>601</v>
      </c>
      <c r="B131" s="4" t="s">
        <v>602</v>
      </c>
      <c r="C131" s="98">
        <v>1197</v>
      </c>
      <c r="D131" s="16" t="s">
        <v>145</v>
      </c>
      <c r="E131" s="17" t="s">
        <v>17</v>
      </c>
      <c r="F131" s="12">
        <v>88</v>
      </c>
      <c r="G131" s="51">
        <v>22</v>
      </c>
      <c r="H131" s="51">
        <v>3</v>
      </c>
      <c r="I131" s="51">
        <v>3</v>
      </c>
      <c r="J131" s="50">
        <v>0</v>
      </c>
    </row>
    <row r="132" spans="1:15" ht="21" x14ac:dyDescent="0.35">
      <c r="A132" s="5"/>
      <c r="B132" s="5"/>
      <c r="C132" s="112"/>
      <c r="D132" s="16" t="s">
        <v>145</v>
      </c>
      <c r="E132" s="17" t="s">
        <v>2</v>
      </c>
      <c r="F132" s="12">
        <v>51</v>
      </c>
      <c r="G132" s="51">
        <v>26</v>
      </c>
      <c r="H132" s="51">
        <v>1</v>
      </c>
      <c r="I132" s="51">
        <v>7</v>
      </c>
      <c r="J132" s="50">
        <v>0</v>
      </c>
    </row>
    <row r="133" spans="1:15" ht="21" x14ac:dyDescent="0.35">
      <c r="A133" s="5"/>
      <c r="B133" s="5"/>
      <c r="C133" s="112"/>
      <c r="D133" s="16" t="s">
        <v>145</v>
      </c>
      <c r="E133" s="17" t="s">
        <v>3</v>
      </c>
      <c r="F133" s="12">
        <v>74</v>
      </c>
      <c r="G133" s="51">
        <v>21</v>
      </c>
      <c r="H133" s="51">
        <v>4</v>
      </c>
      <c r="I133" s="51">
        <v>6</v>
      </c>
      <c r="J133" s="50">
        <v>0</v>
      </c>
    </row>
    <row r="134" spans="1:15" ht="21" x14ac:dyDescent="0.35">
      <c r="A134" s="5"/>
      <c r="B134" s="5"/>
      <c r="C134" s="112"/>
      <c r="D134" s="16" t="s">
        <v>145</v>
      </c>
      <c r="E134" s="17" t="s">
        <v>4</v>
      </c>
      <c r="F134" s="12">
        <v>116</v>
      </c>
      <c r="G134" s="51">
        <v>49</v>
      </c>
      <c r="H134" s="51">
        <v>7</v>
      </c>
      <c r="I134" s="51">
        <v>1</v>
      </c>
      <c r="J134" s="50">
        <v>0</v>
      </c>
    </row>
    <row r="135" spans="1:15" ht="21" x14ac:dyDescent="0.35">
      <c r="A135" s="5"/>
      <c r="B135" s="5"/>
      <c r="C135" s="112"/>
      <c r="D135" s="16" t="s">
        <v>145</v>
      </c>
      <c r="E135" s="17" t="s">
        <v>5</v>
      </c>
      <c r="F135" s="12">
        <v>120</v>
      </c>
      <c r="G135" s="51">
        <v>63</v>
      </c>
      <c r="H135" s="51">
        <v>2</v>
      </c>
      <c r="I135" s="51">
        <v>8</v>
      </c>
      <c r="J135" s="50">
        <v>0</v>
      </c>
    </row>
    <row r="136" spans="1:15" ht="21" x14ac:dyDescent="0.35">
      <c r="A136" s="5"/>
      <c r="B136" s="5"/>
      <c r="C136" s="112"/>
      <c r="D136" s="16" t="s">
        <v>145</v>
      </c>
      <c r="E136" s="17" t="s">
        <v>6</v>
      </c>
      <c r="F136" s="12">
        <v>128</v>
      </c>
      <c r="G136" s="51">
        <v>36</v>
      </c>
      <c r="H136" s="51">
        <v>1</v>
      </c>
      <c r="I136" s="51">
        <v>4</v>
      </c>
      <c r="J136" s="50">
        <v>0</v>
      </c>
      <c r="K136">
        <f>SUM(F131:F136)</f>
        <v>577</v>
      </c>
      <c r="L136">
        <f t="shared" ref="L136:O136" si="15">SUM(G131:G136)</f>
        <v>217</v>
      </c>
      <c r="M136">
        <f t="shared" si="15"/>
        <v>18</v>
      </c>
      <c r="N136">
        <f t="shared" si="15"/>
        <v>29</v>
      </c>
      <c r="O136">
        <f t="shared" si="15"/>
        <v>0</v>
      </c>
    </row>
    <row r="137" spans="1:15" ht="20.25" customHeight="1" x14ac:dyDescent="0.2">
      <c r="A137" s="114"/>
      <c r="B137" s="116" t="s">
        <v>721</v>
      </c>
      <c r="C137" s="115">
        <f>SUM(C5:C131)</f>
        <v>25426</v>
      </c>
      <c r="D137" s="345" t="s">
        <v>229</v>
      </c>
      <c r="E137" s="346"/>
      <c r="F137" s="221">
        <f>SUM(F5:F136)</f>
        <v>9107</v>
      </c>
      <c r="G137" s="221">
        <f>SUM(G5:G136)</f>
        <v>2930</v>
      </c>
      <c r="H137" s="221">
        <f>SUM(H5:H136)</f>
        <v>386</v>
      </c>
      <c r="I137" s="221">
        <f>SUM(I5:I136)</f>
        <v>397</v>
      </c>
      <c r="J137" s="221">
        <f>SUM(J5:J136)</f>
        <v>56</v>
      </c>
    </row>
    <row r="138" spans="1:15" x14ac:dyDescent="0.2">
      <c r="A138" s="343" t="s">
        <v>735</v>
      </c>
      <c r="B138" s="344"/>
      <c r="C138" s="115">
        <f>SUM(C137,F137,G137,H137,I137,J137)</f>
        <v>38302</v>
      </c>
    </row>
    <row r="141" spans="1:15" x14ac:dyDescent="0.2">
      <c r="C141" s="110">
        <f>+C138</f>
        <v>38302</v>
      </c>
    </row>
  </sheetData>
  <mergeCells count="7">
    <mergeCell ref="A138:B138"/>
    <mergeCell ref="D137:E137"/>
    <mergeCell ref="D1:J1"/>
    <mergeCell ref="D2:J2"/>
    <mergeCell ref="A1:C1"/>
    <mergeCell ref="A2:C2"/>
    <mergeCell ref="F3:J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workbookViewId="0">
      <selection sqref="A1:C1"/>
    </sheetView>
  </sheetViews>
  <sheetFormatPr defaultRowHeight="21" x14ac:dyDescent="0.35"/>
  <cols>
    <col min="1" max="1" width="11.5703125" style="2" customWidth="1"/>
    <col min="2" max="2" width="14.5703125" style="2" customWidth="1"/>
    <col min="3" max="3" width="24.5703125" style="94" customWidth="1"/>
    <col min="4" max="4" width="16" style="2" customWidth="1"/>
    <col min="5" max="5" width="9.140625" style="22"/>
    <col min="6" max="6" width="14.28515625" style="22" customWidth="1"/>
    <col min="7" max="7" width="11.28515625" style="22" customWidth="1"/>
    <col min="8" max="8" width="12.85546875" style="22" customWidth="1"/>
    <col min="9" max="9" width="21.140625" style="22" customWidth="1"/>
    <col min="10" max="10" width="13.42578125" style="22" customWidth="1"/>
    <col min="11" max="16384" width="9.140625" style="2"/>
  </cols>
  <sheetData>
    <row r="1" spans="1:15" x14ac:dyDescent="0.35">
      <c r="A1" s="334" t="s">
        <v>736</v>
      </c>
      <c r="B1" s="334"/>
      <c r="C1" s="334"/>
      <c r="D1" s="330" t="s">
        <v>241</v>
      </c>
      <c r="E1" s="330"/>
      <c r="F1" s="330"/>
      <c r="G1" s="330"/>
      <c r="H1" s="330"/>
      <c r="I1" s="330"/>
      <c r="J1" s="330"/>
    </row>
    <row r="2" spans="1:15" x14ac:dyDescent="0.35">
      <c r="A2" s="334" t="s">
        <v>861</v>
      </c>
      <c r="B2" s="334"/>
      <c r="C2" s="334"/>
      <c r="D2" s="330" t="s">
        <v>862</v>
      </c>
      <c r="E2" s="330"/>
      <c r="F2" s="330"/>
      <c r="G2" s="330"/>
      <c r="H2" s="330"/>
      <c r="I2" s="330"/>
      <c r="J2" s="330"/>
    </row>
    <row r="3" spans="1:15" x14ac:dyDescent="0.35">
      <c r="A3" s="90"/>
      <c r="B3" s="90"/>
      <c r="C3" s="109"/>
      <c r="D3" s="44"/>
      <c r="E3" s="44"/>
      <c r="F3" s="342" t="s">
        <v>716</v>
      </c>
      <c r="G3" s="342"/>
      <c r="H3" s="342"/>
      <c r="I3" s="342"/>
      <c r="J3" s="342"/>
    </row>
    <row r="4" spans="1:15" x14ac:dyDescent="0.35">
      <c r="A4" s="85" t="s">
        <v>714</v>
      </c>
      <c r="B4" s="85" t="s">
        <v>254</v>
      </c>
      <c r="C4" s="86" t="s">
        <v>715</v>
      </c>
      <c r="D4" s="18" t="s">
        <v>223</v>
      </c>
      <c r="E4" s="19" t="s">
        <v>222</v>
      </c>
      <c r="F4" s="19" t="s">
        <v>218</v>
      </c>
      <c r="G4" s="19" t="s">
        <v>219</v>
      </c>
      <c r="H4" s="19" t="s">
        <v>220</v>
      </c>
      <c r="I4" s="19" t="s">
        <v>240</v>
      </c>
      <c r="J4" s="19" t="s">
        <v>221</v>
      </c>
    </row>
    <row r="5" spans="1:15" x14ac:dyDescent="0.35">
      <c r="A5" s="9" t="s">
        <v>603</v>
      </c>
      <c r="B5" s="9" t="s">
        <v>604</v>
      </c>
      <c r="C5" s="96">
        <v>5410</v>
      </c>
      <c r="D5" s="16" t="s">
        <v>146</v>
      </c>
      <c r="E5" s="17" t="s">
        <v>0</v>
      </c>
      <c r="F5" s="13">
        <v>0</v>
      </c>
      <c r="G5" s="13">
        <v>3</v>
      </c>
      <c r="H5" s="13">
        <v>0</v>
      </c>
      <c r="I5" s="15">
        <v>0</v>
      </c>
      <c r="J5" s="15">
        <v>3</v>
      </c>
    </row>
    <row r="6" spans="1:15" x14ac:dyDescent="0.35">
      <c r="A6" s="73"/>
      <c r="B6" s="73"/>
      <c r="C6" s="97"/>
      <c r="D6" s="16" t="s">
        <v>146</v>
      </c>
      <c r="E6" s="17" t="s">
        <v>17</v>
      </c>
      <c r="F6" s="13">
        <v>44</v>
      </c>
      <c r="G6" s="13">
        <v>11</v>
      </c>
      <c r="H6" s="13">
        <v>1</v>
      </c>
      <c r="I6" s="13">
        <v>2</v>
      </c>
      <c r="J6" s="15">
        <v>0</v>
      </c>
    </row>
    <row r="7" spans="1:15" x14ac:dyDescent="0.35">
      <c r="A7" s="73"/>
      <c r="B7" s="73"/>
      <c r="C7" s="97"/>
      <c r="D7" s="16" t="s">
        <v>146</v>
      </c>
      <c r="E7" s="17" t="s">
        <v>2</v>
      </c>
      <c r="F7" s="13">
        <v>178</v>
      </c>
      <c r="G7" s="13">
        <v>48</v>
      </c>
      <c r="H7" s="13">
        <v>5</v>
      </c>
      <c r="I7" s="13">
        <v>4</v>
      </c>
      <c r="J7" s="15">
        <v>1</v>
      </c>
    </row>
    <row r="8" spans="1:15" x14ac:dyDescent="0.35">
      <c r="A8" s="73"/>
      <c r="B8" s="73"/>
      <c r="C8" s="97"/>
      <c r="D8" s="16" t="s">
        <v>146</v>
      </c>
      <c r="E8" s="17" t="s">
        <v>3</v>
      </c>
      <c r="F8" s="13">
        <v>306</v>
      </c>
      <c r="G8" s="13">
        <v>94</v>
      </c>
      <c r="H8" s="13">
        <v>16</v>
      </c>
      <c r="I8" s="13">
        <v>15</v>
      </c>
      <c r="J8" s="13">
        <v>3</v>
      </c>
    </row>
    <row r="9" spans="1:15" x14ac:dyDescent="0.35">
      <c r="A9" s="73"/>
      <c r="B9" s="73"/>
      <c r="C9" s="97"/>
      <c r="D9" s="16" t="s">
        <v>146</v>
      </c>
      <c r="E9" s="17" t="s">
        <v>4</v>
      </c>
      <c r="F9" s="13">
        <v>185</v>
      </c>
      <c r="G9" s="13">
        <v>143</v>
      </c>
      <c r="H9" s="13">
        <v>6</v>
      </c>
      <c r="I9" s="13">
        <v>9</v>
      </c>
      <c r="J9" s="15">
        <v>1</v>
      </c>
    </row>
    <row r="10" spans="1:15" x14ac:dyDescent="0.35">
      <c r="A10" s="73"/>
      <c r="B10" s="73"/>
      <c r="C10" s="97"/>
      <c r="D10" s="16" t="s">
        <v>146</v>
      </c>
      <c r="E10" s="17" t="s">
        <v>5</v>
      </c>
      <c r="F10" s="13">
        <v>342</v>
      </c>
      <c r="G10" s="13">
        <v>208</v>
      </c>
      <c r="H10" s="13">
        <v>17</v>
      </c>
      <c r="I10" s="13">
        <v>27</v>
      </c>
      <c r="J10" s="15">
        <v>1</v>
      </c>
    </row>
    <row r="11" spans="1:15" x14ac:dyDescent="0.35">
      <c r="A11" s="73"/>
      <c r="B11" s="73"/>
      <c r="C11" s="97"/>
      <c r="D11" s="16" t="s">
        <v>146</v>
      </c>
      <c r="E11" s="17" t="s">
        <v>6</v>
      </c>
      <c r="F11" s="13">
        <v>90</v>
      </c>
      <c r="G11" s="13">
        <v>48</v>
      </c>
      <c r="H11" s="13">
        <v>7</v>
      </c>
      <c r="I11" s="13">
        <v>8</v>
      </c>
      <c r="J11" s="13">
        <v>1</v>
      </c>
    </row>
    <row r="12" spans="1:15" x14ac:dyDescent="0.35">
      <c r="A12" s="73"/>
      <c r="B12" s="73"/>
      <c r="C12" s="97"/>
      <c r="D12" s="16" t="s">
        <v>146</v>
      </c>
      <c r="E12" s="17" t="s">
        <v>7</v>
      </c>
      <c r="F12" s="13">
        <v>207</v>
      </c>
      <c r="G12" s="13">
        <v>87</v>
      </c>
      <c r="H12" s="13">
        <v>5</v>
      </c>
      <c r="I12" s="13">
        <v>10</v>
      </c>
      <c r="J12" s="15">
        <v>0</v>
      </c>
    </row>
    <row r="13" spans="1:15" x14ac:dyDescent="0.35">
      <c r="A13" s="73"/>
      <c r="B13" s="73"/>
      <c r="C13" s="97"/>
      <c r="D13" s="16" t="s">
        <v>146</v>
      </c>
      <c r="E13" s="17" t="s">
        <v>15</v>
      </c>
      <c r="F13" s="13">
        <v>1</v>
      </c>
      <c r="G13" s="13">
        <v>5</v>
      </c>
      <c r="H13" s="15">
        <v>0</v>
      </c>
      <c r="I13" s="15">
        <v>0</v>
      </c>
      <c r="J13" s="15">
        <v>0</v>
      </c>
      <c r="K13" s="2">
        <f>SUM(F5:F13)</f>
        <v>1353</v>
      </c>
      <c r="L13" s="2">
        <f t="shared" ref="L13:O13" si="0">SUM(G5:G13)</f>
        <v>647</v>
      </c>
      <c r="M13" s="2">
        <f t="shared" si="0"/>
        <v>57</v>
      </c>
      <c r="N13" s="2">
        <f t="shared" si="0"/>
        <v>75</v>
      </c>
      <c r="O13" s="2">
        <f t="shared" si="0"/>
        <v>10</v>
      </c>
    </row>
    <row r="14" spans="1:15" x14ac:dyDescent="0.35">
      <c r="A14" s="4" t="s">
        <v>605</v>
      </c>
      <c r="B14" s="4" t="s">
        <v>606</v>
      </c>
      <c r="C14" s="98">
        <v>1868</v>
      </c>
      <c r="D14" s="16" t="s">
        <v>147</v>
      </c>
      <c r="E14" s="17" t="s">
        <v>17</v>
      </c>
      <c r="F14" s="12">
        <v>233</v>
      </c>
      <c r="G14" s="12">
        <v>84</v>
      </c>
      <c r="H14" s="12">
        <v>7</v>
      </c>
      <c r="I14" s="12">
        <v>16</v>
      </c>
      <c r="J14" s="14">
        <v>1</v>
      </c>
    </row>
    <row r="15" spans="1:15" x14ac:dyDescent="0.35">
      <c r="A15" s="79"/>
      <c r="B15" s="79"/>
      <c r="C15" s="99"/>
      <c r="D15" s="16" t="s">
        <v>147</v>
      </c>
      <c r="E15" s="17" t="s">
        <v>2</v>
      </c>
      <c r="F15" s="12">
        <v>133</v>
      </c>
      <c r="G15" s="12">
        <v>28</v>
      </c>
      <c r="H15" s="14">
        <v>0</v>
      </c>
      <c r="I15" s="12">
        <v>7</v>
      </c>
      <c r="J15" s="12">
        <v>0</v>
      </c>
    </row>
    <row r="16" spans="1:15" x14ac:dyDescent="0.35">
      <c r="A16" s="79"/>
      <c r="B16" s="79"/>
      <c r="C16" s="99"/>
      <c r="D16" s="16" t="s">
        <v>147</v>
      </c>
      <c r="E16" s="17" t="s">
        <v>3</v>
      </c>
      <c r="F16" s="12">
        <v>89</v>
      </c>
      <c r="G16" s="12">
        <v>37</v>
      </c>
      <c r="H16" s="12">
        <v>7</v>
      </c>
      <c r="I16" s="12">
        <v>12</v>
      </c>
      <c r="J16" s="12">
        <v>0</v>
      </c>
    </row>
    <row r="17" spans="1:15" x14ac:dyDescent="0.35">
      <c r="A17" s="79"/>
      <c r="B17" s="79"/>
      <c r="C17" s="99"/>
      <c r="D17" s="16" t="s">
        <v>147</v>
      </c>
      <c r="E17" s="17" t="s">
        <v>4</v>
      </c>
      <c r="F17" s="12">
        <v>25</v>
      </c>
      <c r="G17" s="12">
        <v>7</v>
      </c>
      <c r="H17" s="12">
        <v>1</v>
      </c>
      <c r="I17" s="12">
        <v>1</v>
      </c>
      <c r="J17" s="14">
        <v>0</v>
      </c>
    </row>
    <row r="18" spans="1:15" x14ac:dyDescent="0.35">
      <c r="A18" s="79"/>
      <c r="B18" s="79"/>
      <c r="C18" s="99"/>
      <c r="D18" s="16" t="s">
        <v>147</v>
      </c>
      <c r="E18" s="17" t="s">
        <v>5</v>
      </c>
      <c r="F18" s="12">
        <v>75</v>
      </c>
      <c r="G18" s="12">
        <v>16</v>
      </c>
      <c r="H18" s="14">
        <v>0</v>
      </c>
      <c r="I18" s="12">
        <v>3</v>
      </c>
      <c r="J18" s="14">
        <v>1</v>
      </c>
    </row>
    <row r="19" spans="1:15" x14ac:dyDescent="0.35">
      <c r="A19" s="79"/>
      <c r="B19" s="79"/>
      <c r="C19" s="99"/>
      <c r="D19" s="16" t="s">
        <v>147</v>
      </c>
      <c r="E19" s="17" t="s">
        <v>6</v>
      </c>
      <c r="F19" s="12">
        <v>65</v>
      </c>
      <c r="G19" s="12">
        <v>8</v>
      </c>
      <c r="H19" s="14">
        <v>0</v>
      </c>
      <c r="I19" s="14">
        <v>0</v>
      </c>
      <c r="J19" s="14">
        <v>0</v>
      </c>
    </row>
    <row r="20" spans="1:15" x14ac:dyDescent="0.35">
      <c r="A20" s="79"/>
      <c r="B20" s="79"/>
      <c r="C20" s="99"/>
      <c r="D20" s="16" t="s">
        <v>147</v>
      </c>
      <c r="E20" s="17" t="s">
        <v>7</v>
      </c>
      <c r="F20" s="12">
        <v>52</v>
      </c>
      <c r="G20" s="12">
        <v>19</v>
      </c>
      <c r="H20" s="12">
        <v>4</v>
      </c>
      <c r="I20" s="12">
        <v>5</v>
      </c>
      <c r="J20" s="14">
        <v>0</v>
      </c>
    </row>
    <row r="21" spans="1:15" x14ac:dyDescent="0.35">
      <c r="A21" s="79"/>
      <c r="B21" s="79"/>
      <c r="C21" s="99"/>
      <c r="D21" s="16" t="s">
        <v>147</v>
      </c>
      <c r="E21" s="17" t="s">
        <v>8</v>
      </c>
      <c r="F21" s="12">
        <v>54</v>
      </c>
      <c r="G21" s="12">
        <v>16</v>
      </c>
      <c r="H21" s="14">
        <v>1</v>
      </c>
      <c r="I21" s="12">
        <v>1</v>
      </c>
      <c r="J21" s="14">
        <v>0</v>
      </c>
    </row>
    <row r="22" spans="1:15" x14ac:dyDescent="0.35">
      <c r="A22" s="79"/>
      <c r="B22" s="79"/>
      <c r="C22" s="99"/>
      <c r="D22" s="16" t="s">
        <v>147</v>
      </c>
      <c r="E22" s="17" t="s">
        <v>9</v>
      </c>
      <c r="F22" s="12">
        <v>130</v>
      </c>
      <c r="G22" s="12">
        <v>6</v>
      </c>
      <c r="H22" s="12">
        <v>4</v>
      </c>
      <c r="I22" s="12">
        <v>2</v>
      </c>
      <c r="J22" s="14">
        <v>2</v>
      </c>
    </row>
    <row r="23" spans="1:15" x14ac:dyDescent="0.35">
      <c r="A23" s="79"/>
      <c r="B23" s="79"/>
      <c r="C23" s="99"/>
      <c r="D23" s="16" t="s">
        <v>147</v>
      </c>
      <c r="E23" s="17" t="s">
        <v>11</v>
      </c>
      <c r="F23" s="12">
        <v>142</v>
      </c>
      <c r="G23" s="12">
        <v>16</v>
      </c>
      <c r="H23" s="12">
        <v>6</v>
      </c>
      <c r="I23" s="12">
        <v>1</v>
      </c>
      <c r="J23" s="14">
        <v>0</v>
      </c>
    </row>
    <row r="24" spans="1:15" x14ac:dyDescent="0.35">
      <c r="A24" s="79"/>
      <c r="B24" s="79"/>
      <c r="C24" s="99"/>
      <c r="D24" s="16" t="s">
        <v>147</v>
      </c>
      <c r="E24" s="17" t="s">
        <v>12</v>
      </c>
      <c r="F24" s="12">
        <v>26</v>
      </c>
      <c r="G24" s="12">
        <v>6</v>
      </c>
      <c r="H24" s="14">
        <v>0</v>
      </c>
      <c r="I24" s="12">
        <v>2</v>
      </c>
      <c r="J24" s="14">
        <v>0</v>
      </c>
    </row>
    <row r="25" spans="1:15" x14ac:dyDescent="0.35">
      <c r="A25" s="79"/>
      <c r="B25" s="79"/>
      <c r="C25" s="99"/>
      <c r="D25" s="16" t="s">
        <v>147</v>
      </c>
      <c r="E25" s="17" t="s">
        <v>13</v>
      </c>
      <c r="F25" s="12">
        <v>172</v>
      </c>
      <c r="G25" s="12">
        <v>15</v>
      </c>
      <c r="H25" s="14">
        <v>1</v>
      </c>
      <c r="I25" s="12">
        <v>3</v>
      </c>
      <c r="J25" s="14">
        <v>0</v>
      </c>
      <c r="K25" s="2">
        <f>SUM(F14:F25)</f>
        <v>1196</v>
      </c>
      <c r="L25" s="2">
        <f t="shared" ref="L25:O25" si="1">SUM(G14:G25)</f>
        <v>258</v>
      </c>
      <c r="M25" s="2">
        <f t="shared" si="1"/>
        <v>31</v>
      </c>
      <c r="N25" s="2">
        <f t="shared" si="1"/>
        <v>53</v>
      </c>
      <c r="O25" s="2">
        <f t="shared" si="1"/>
        <v>4</v>
      </c>
    </row>
    <row r="26" spans="1:15" x14ac:dyDescent="0.35">
      <c r="A26" s="9" t="s">
        <v>607</v>
      </c>
      <c r="B26" s="9" t="s">
        <v>608</v>
      </c>
      <c r="C26" s="96">
        <v>3077</v>
      </c>
      <c r="D26" s="16" t="s">
        <v>148</v>
      </c>
      <c r="E26" s="17" t="s">
        <v>17</v>
      </c>
      <c r="F26" s="13">
        <v>96</v>
      </c>
      <c r="G26" s="13">
        <v>16</v>
      </c>
      <c r="H26" s="15">
        <v>0</v>
      </c>
      <c r="I26" s="13">
        <v>3</v>
      </c>
      <c r="J26" s="15">
        <v>0</v>
      </c>
    </row>
    <row r="27" spans="1:15" x14ac:dyDescent="0.35">
      <c r="A27" s="73"/>
      <c r="B27" s="73"/>
      <c r="C27" s="97"/>
      <c r="D27" s="16" t="s">
        <v>148</v>
      </c>
      <c r="E27" s="17" t="s">
        <v>2</v>
      </c>
      <c r="F27" s="13">
        <v>126</v>
      </c>
      <c r="G27" s="13">
        <v>5</v>
      </c>
      <c r="H27" s="15">
        <v>0</v>
      </c>
      <c r="I27" s="13">
        <v>2</v>
      </c>
      <c r="J27" s="15">
        <v>0</v>
      </c>
    </row>
    <row r="28" spans="1:15" x14ac:dyDescent="0.35">
      <c r="A28" s="73"/>
      <c r="B28" s="73"/>
      <c r="C28" s="97"/>
      <c r="D28" s="16" t="s">
        <v>148</v>
      </c>
      <c r="E28" s="17" t="s">
        <v>3</v>
      </c>
      <c r="F28" s="13">
        <v>179</v>
      </c>
      <c r="G28" s="13">
        <v>16</v>
      </c>
      <c r="H28" s="13">
        <v>14</v>
      </c>
      <c r="I28" s="13">
        <v>1</v>
      </c>
      <c r="J28" s="15">
        <v>2</v>
      </c>
    </row>
    <row r="29" spans="1:15" x14ac:dyDescent="0.35">
      <c r="A29" s="73"/>
      <c r="B29" s="73"/>
      <c r="C29" s="97"/>
      <c r="D29" s="16" t="s">
        <v>148</v>
      </c>
      <c r="E29" s="17" t="s">
        <v>4</v>
      </c>
      <c r="F29" s="13">
        <v>179</v>
      </c>
      <c r="G29" s="13">
        <v>21</v>
      </c>
      <c r="H29" s="13">
        <v>2</v>
      </c>
      <c r="I29" s="13">
        <v>1</v>
      </c>
      <c r="J29" s="15">
        <v>2</v>
      </c>
    </row>
    <row r="30" spans="1:15" x14ac:dyDescent="0.35">
      <c r="A30" s="73"/>
      <c r="B30" s="73"/>
      <c r="C30" s="97"/>
      <c r="D30" s="16" t="s">
        <v>148</v>
      </c>
      <c r="E30" s="17" t="s">
        <v>5</v>
      </c>
      <c r="F30" s="13">
        <v>140</v>
      </c>
      <c r="G30" s="13">
        <v>34</v>
      </c>
      <c r="H30" s="13">
        <v>2</v>
      </c>
      <c r="I30" s="13">
        <v>7</v>
      </c>
      <c r="J30" s="15">
        <v>1</v>
      </c>
    </row>
    <row r="31" spans="1:15" x14ac:dyDescent="0.35">
      <c r="A31" s="73"/>
      <c r="B31" s="73"/>
      <c r="C31" s="97"/>
      <c r="D31" s="16" t="s">
        <v>148</v>
      </c>
      <c r="E31" s="17" t="s">
        <v>6</v>
      </c>
      <c r="F31" s="13">
        <v>279</v>
      </c>
      <c r="G31" s="13">
        <v>37</v>
      </c>
      <c r="H31" s="13">
        <v>2</v>
      </c>
      <c r="I31" s="13">
        <v>7</v>
      </c>
      <c r="J31" s="15">
        <v>2</v>
      </c>
    </row>
    <row r="32" spans="1:15" x14ac:dyDescent="0.35">
      <c r="A32" s="73"/>
      <c r="B32" s="73"/>
      <c r="C32" s="97"/>
      <c r="D32" s="16" t="s">
        <v>148</v>
      </c>
      <c r="E32" s="17" t="s">
        <v>7</v>
      </c>
      <c r="F32" s="13">
        <v>67</v>
      </c>
      <c r="G32" s="13">
        <v>11</v>
      </c>
      <c r="H32" s="15">
        <v>0</v>
      </c>
      <c r="I32" s="13">
        <v>2</v>
      </c>
      <c r="J32" s="15">
        <v>0</v>
      </c>
    </row>
    <row r="33" spans="1:15" x14ac:dyDescent="0.35">
      <c r="A33" s="73"/>
      <c r="B33" s="73"/>
      <c r="C33" s="97"/>
      <c r="D33" s="16" t="s">
        <v>148</v>
      </c>
      <c r="E33" s="17" t="s">
        <v>8</v>
      </c>
      <c r="F33" s="13">
        <v>52</v>
      </c>
      <c r="G33" s="13">
        <v>5</v>
      </c>
      <c r="H33" s="13">
        <v>5</v>
      </c>
      <c r="I33" s="13">
        <v>3</v>
      </c>
      <c r="J33" s="15">
        <v>0</v>
      </c>
    </row>
    <row r="34" spans="1:15" x14ac:dyDescent="0.35">
      <c r="A34" s="73"/>
      <c r="B34" s="73"/>
      <c r="C34" s="97"/>
      <c r="D34" s="16" t="s">
        <v>148</v>
      </c>
      <c r="E34" s="17" t="s">
        <v>9</v>
      </c>
      <c r="F34" s="13">
        <v>167</v>
      </c>
      <c r="G34" s="13">
        <v>32</v>
      </c>
      <c r="H34" s="13">
        <v>3</v>
      </c>
      <c r="I34" s="13">
        <v>4</v>
      </c>
      <c r="J34" s="13">
        <v>1</v>
      </c>
      <c r="K34" s="2">
        <f>SUM(F26:F34)</f>
        <v>1285</v>
      </c>
      <c r="L34" s="2">
        <f t="shared" ref="L34:O34" si="2">SUM(G26:G34)</f>
        <v>177</v>
      </c>
      <c r="M34" s="2">
        <f t="shared" si="2"/>
        <v>28</v>
      </c>
      <c r="N34" s="2">
        <f t="shared" si="2"/>
        <v>30</v>
      </c>
      <c r="O34" s="2">
        <f t="shared" si="2"/>
        <v>8</v>
      </c>
    </row>
    <row r="35" spans="1:15" x14ac:dyDescent="0.35">
      <c r="A35" s="4" t="s">
        <v>609</v>
      </c>
      <c r="B35" s="4" t="s">
        <v>610</v>
      </c>
      <c r="C35" s="98">
        <v>1965</v>
      </c>
      <c r="D35" s="16" t="s">
        <v>149</v>
      </c>
      <c r="E35" s="17" t="s">
        <v>17</v>
      </c>
      <c r="F35" s="12">
        <v>109</v>
      </c>
      <c r="G35" s="12">
        <v>25</v>
      </c>
      <c r="H35" s="12">
        <v>2</v>
      </c>
      <c r="I35" s="12">
        <v>1</v>
      </c>
      <c r="J35" s="14">
        <v>1</v>
      </c>
    </row>
    <row r="36" spans="1:15" x14ac:dyDescent="0.35">
      <c r="A36" s="79"/>
      <c r="B36" s="79"/>
      <c r="C36" s="99"/>
      <c r="D36" s="16" t="s">
        <v>149</v>
      </c>
      <c r="E36" s="17" t="s">
        <v>2</v>
      </c>
      <c r="F36" s="12">
        <v>64</v>
      </c>
      <c r="G36" s="12">
        <v>22</v>
      </c>
      <c r="H36" s="14">
        <v>0</v>
      </c>
      <c r="I36" s="12">
        <v>1</v>
      </c>
      <c r="J36" s="14">
        <v>0</v>
      </c>
    </row>
    <row r="37" spans="1:15" x14ac:dyDescent="0.35">
      <c r="A37" s="79"/>
      <c r="B37" s="79"/>
      <c r="C37" s="99"/>
      <c r="D37" s="16" t="s">
        <v>149</v>
      </c>
      <c r="E37" s="17" t="s">
        <v>3</v>
      </c>
      <c r="F37" s="12">
        <v>175</v>
      </c>
      <c r="G37" s="12">
        <v>52</v>
      </c>
      <c r="H37" s="12">
        <v>4</v>
      </c>
      <c r="I37" s="12">
        <v>6</v>
      </c>
      <c r="J37" s="14">
        <v>2</v>
      </c>
    </row>
    <row r="38" spans="1:15" x14ac:dyDescent="0.35">
      <c r="A38" s="79"/>
      <c r="B38" s="79"/>
      <c r="C38" s="99"/>
      <c r="D38" s="16" t="s">
        <v>149</v>
      </c>
      <c r="E38" s="17" t="s">
        <v>4</v>
      </c>
      <c r="F38" s="12">
        <v>58</v>
      </c>
      <c r="G38" s="12">
        <v>19</v>
      </c>
      <c r="H38" s="12">
        <v>2</v>
      </c>
      <c r="I38" s="12">
        <v>3</v>
      </c>
      <c r="J38" s="14">
        <v>0</v>
      </c>
    </row>
    <row r="39" spans="1:15" x14ac:dyDescent="0.35">
      <c r="A39" s="79"/>
      <c r="B39" s="79"/>
      <c r="C39" s="99"/>
      <c r="D39" s="16" t="s">
        <v>149</v>
      </c>
      <c r="E39" s="17" t="s">
        <v>5</v>
      </c>
      <c r="F39" s="12">
        <v>75</v>
      </c>
      <c r="G39" s="12">
        <v>9</v>
      </c>
      <c r="H39" s="12">
        <v>5</v>
      </c>
      <c r="I39" s="14">
        <v>0</v>
      </c>
      <c r="J39" s="14">
        <v>1</v>
      </c>
    </row>
    <row r="40" spans="1:15" x14ac:dyDescent="0.35">
      <c r="A40" s="79"/>
      <c r="B40" s="79"/>
      <c r="C40" s="99"/>
      <c r="D40" s="16" t="s">
        <v>149</v>
      </c>
      <c r="E40" s="17" t="s">
        <v>6</v>
      </c>
      <c r="F40" s="12">
        <v>68</v>
      </c>
      <c r="G40" s="12">
        <v>23</v>
      </c>
      <c r="H40" s="12">
        <v>5</v>
      </c>
      <c r="I40" s="12">
        <v>5</v>
      </c>
      <c r="J40" s="12">
        <v>3</v>
      </c>
    </row>
    <row r="41" spans="1:15" x14ac:dyDescent="0.35">
      <c r="A41" s="79"/>
      <c r="B41" s="79"/>
      <c r="C41" s="99"/>
      <c r="D41" s="16" t="s">
        <v>149</v>
      </c>
      <c r="E41" s="17" t="s">
        <v>7</v>
      </c>
      <c r="F41" s="12">
        <v>166</v>
      </c>
      <c r="G41" s="12">
        <v>26</v>
      </c>
      <c r="H41" s="12">
        <v>3</v>
      </c>
      <c r="I41" s="12">
        <v>5</v>
      </c>
      <c r="J41" s="14">
        <v>0</v>
      </c>
    </row>
    <row r="42" spans="1:15" x14ac:dyDescent="0.35">
      <c r="A42" s="79"/>
      <c r="B42" s="79"/>
      <c r="C42" s="99"/>
      <c r="D42" s="16" t="s">
        <v>149</v>
      </c>
      <c r="E42" s="17" t="s">
        <v>8</v>
      </c>
      <c r="F42" s="12">
        <v>140</v>
      </c>
      <c r="G42" s="12">
        <v>41</v>
      </c>
      <c r="H42" s="14">
        <v>0</v>
      </c>
      <c r="I42" s="12">
        <v>5</v>
      </c>
      <c r="J42" s="14">
        <v>1</v>
      </c>
      <c r="K42" s="2">
        <f>SUM(F35:F42)</f>
        <v>855</v>
      </c>
      <c r="L42" s="2">
        <f t="shared" ref="L42:O42" si="3">SUM(G35:G42)</f>
        <v>217</v>
      </c>
      <c r="M42" s="2">
        <f t="shared" si="3"/>
        <v>21</v>
      </c>
      <c r="N42" s="2">
        <f t="shared" si="3"/>
        <v>26</v>
      </c>
      <c r="O42" s="2">
        <f t="shared" si="3"/>
        <v>8</v>
      </c>
    </row>
    <row r="43" spans="1:15" x14ac:dyDescent="0.35">
      <c r="A43" s="9" t="s">
        <v>611</v>
      </c>
      <c r="B43" s="9" t="s">
        <v>612</v>
      </c>
      <c r="C43" s="96">
        <v>1579</v>
      </c>
      <c r="D43" s="16" t="s">
        <v>150</v>
      </c>
      <c r="E43" s="17" t="s">
        <v>17</v>
      </c>
      <c r="F43" s="13">
        <v>90</v>
      </c>
      <c r="G43" s="13">
        <v>23</v>
      </c>
      <c r="H43" s="15">
        <v>0</v>
      </c>
      <c r="I43" s="13">
        <v>3</v>
      </c>
      <c r="J43" s="15">
        <v>1</v>
      </c>
    </row>
    <row r="44" spans="1:15" x14ac:dyDescent="0.35">
      <c r="A44" s="73"/>
      <c r="B44" s="73"/>
      <c r="C44" s="97"/>
      <c r="D44" s="16" t="s">
        <v>150</v>
      </c>
      <c r="E44" s="17" t="s">
        <v>2</v>
      </c>
      <c r="F44" s="13">
        <v>54</v>
      </c>
      <c r="G44" s="13">
        <v>27</v>
      </c>
      <c r="H44" s="13">
        <v>4</v>
      </c>
      <c r="I44" s="13">
        <v>8</v>
      </c>
      <c r="J44" s="13">
        <v>1</v>
      </c>
    </row>
    <row r="45" spans="1:15" x14ac:dyDescent="0.35">
      <c r="A45" s="73"/>
      <c r="B45" s="73"/>
      <c r="C45" s="97"/>
      <c r="D45" s="16" t="s">
        <v>150</v>
      </c>
      <c r="E45" s="17" t="s">
        <v>3</v>
      </c>
      <c r="F45" s="13">
        <v>42</v>
      </c>
      <c r="G45" s="13">
        <v>6</v>
      </c>
      <c r="H45" s="15">
        <v>0</v>
      </c>
      <c r="I45" s="13">
        <v>3</v>
      </c>
      <c r="J45" s="15">
        <v>0</v>
      </c>
    </row>
    <row r="46" spans="1:15" x14ac:dyDescent="0.35">
      <c r="A46" s="73"/>
      <c r="B46" s="73"/>
      <c r="C46" s="97"/>
      <c r="D46" s="16" t="s">
        <v>150</v>
      </c>
      <c r="E46" s="17" t="s">
        <v>4</v>
      </c>
      <c r="F46" s="13">
        <v>145</v>
      </c>
      <c r="G46" s="13">
        <v>46</v>
      </c>
      <c r="H46" s="15">
        <v>0</v>
      </c>
      <c r="I46" s="13">
        <v>8</v>
      </c>
      <c r="J46" s="15">
        <v>0</v>
      </c>
    </row>
    <row r="47" spans="1:15" x14ac:dyDescent="0.35">
      <c r="A47" s="73"/>
      <c r="B47" s="73"/>
      <c r="C47" s="97"/>
      <c r="D47" s="16" t="s">
        <v>150</v>
      </c>
      <c r="E47" s="17" t="s">
        <v>5</v>
      </c>
      <c r="F47" s="13">
        <v>113</v>
      </c>
      <c r="G47" s="13">
        <v>42</v>
      </c>
      <c r="H47" s="13">
        <v>5</v>
      </c>
      <c r="I47" s="13">
        <v>6</v>
      </c>
      <c r="J47" s="15">
        <v>0</v>
      </c>
    </row>
    <row r="48" spans="1:15" x14ac:dyDescent="0.35">
      <c r="A48" s="73"/>
      <c r="B48" s="73"/>
      <c r="C48" s="97"/>
      <c r="D48" s="16" t="s">
        <v>150</v>
      </c>
      <c r="E48" s="17" t="s">
        <v>6</v>
      </c>
      <c r="F48" s="13">
        <v>114</v>
      </c>
      <c r="G48" s="13">
        <v>22</v>
      </c>
      <c r="H48" s="15">
        <v>0</v>
      </c>
      <c r="I48" s="13">
        <v>3</v>
      </c>
      <c r="J48" s="15">
        <v>2</v>
      </c>
    </row>
    <row r="49" spans="1:15" x14ac:dyDescent="0.35">
      <c r="A49" s="73"/>
      <c r="B49" s="73"/>
      <c r="C49" s="97"/>
      <c r="D49" s="16" t="s">
        <v>150</v>
      </c>
      <c r="E49" s="17" t="s">
        <v>7</v>
      </c>
      <c r="F49" s="13">
        <v>22</v>
      </c>
      <c r="G49" s="13">
        <v>9</v>
      </c>
      <c r="H49" s="15">
        <v>0</v>
      </c>
      <c r="I49" s="13">
        <v>1</v>
      </c>
      <c r="J49" s="15">
        <v>0</v>
      </c>
    </row>
    <row r="50" spans="1:15" x14ac:dyDescent="0.35">
      <c r="A50" s="73"/>
      <c r="B50" s="73"/>
      <c r="C50" s="97"/>
      <c r="D50" s="16" t="s">
        <v>150</v>
      </c>
      <c r="E50" s="17" t="s">
        <v>8</v>
      </c>
      <c r="F50" s="13">
        <v>57</v>
      </c>
      <c r="G50" s="13">
        <v>27</v>
      </c>
      <c r="H50" s="15">
        <v>0</v>
      </c>
      <c r="I50" s="13">
        <v>2</v>
      </c>
      <c r="J50" s="15">
        <v>0</v>
      </c>
    </row>
    <row r="51" spans="1:15" x14ac:dyDescent="0.35">
      <c r="A51" s="73"/>
      <c r="B51" s="73"/>
      <c r="C51" s="97"/>
      <c r="D51" s="16" t="s">
        <v>150</v>
      </c>
      <c r="E51" s="17" t="s">
        <v>9</v>
      </c>
      <c r="F51" s="13">
        <v>80</v>
      </c>
      <c r="G51" s="13">
        <v>36</v>
      </c>
      <c r="H51" s="15">
        <v>0</v>
      </c>
      <c r="I51" s="13">
        <v>2</v>
      </c>
      <c r="J51" s="15">
        <v>1</v>
      </c>
    </row>
    <row r="52" spans="1:15" x14ac:dyDescent="0.35">
      <c r="A52" s="73"/>
      <c r="B52" s="73"/>
      <c r="C52" s="97"/>
      <c r="D52" s="16" t="s">
        <v>150</v>
      </c>
      <c r="E52" s="17" t="s">
        <v>11</v>
      </c>
      <c r="F52" s="13">
        <v>31</v>
      </c>
      <c r="G52" s="13">
        <v>19</v>
      </c>
      <c r="H52" s="13">
        <v>3</v>
      </c>
      <c r="I52" s="13">
        <v>1</v>
      </c>
      <c r="J52" s="15">
        <v>0</v>
      </c>
      <c r="K52" s="2">
        <f>SUM(F43:F52)</f>
        <v>748</v>
      </c>
      <c r="L52" s="2">
        <f t="shared" ref="L52:O52" si="4">SUM(G43:G52)</f>
        <v>257</v>
      </c>
      <c r="M52" s="2">
        <f t="shared" si="4"/>
        <v>12</v>
      </c>
      <c r="N52" s="2">
        <f t="shared" si="4"/>
        <v>37</v>
      </c>
      <c r="O52" s="2">
        <f t="shared" si="4"/>
        <v>5</v>
      </c>
    </row>
    <row r="53" spans="1:15" x14ac:dyDescent="0.35">
      <c r="A53" s="4" t="s">
        <v>613</v>
      </c>
      <c r="B53" s="4" t="s">
        <v>614</v>
      </c>
      <c r="C53" s="98">
        <v>2099</v>
      </c>
      <c r="D53" s="16" t="s">
        <v>151</v>
      </c>
      <c r="E53" s="17" t="s">
        <v>17</v>
      </c>
      <c r="F53" s="12">
        <v>55</v>
      </c>
      <c r="G53" s="12">
        <v>14</v>
      </c>
      <c r="H53" s="14">
        <v>0</v>
      </c>
      <c r="I53" s="12">
        <v>3</v>
      </c>
      <c r="J53" s="12">
        <v>1</v>
      </c>
    </row>
    <row r="54" spans="1:15" x14ac:dyDescent="0.35">
      <c r="A54" s="79"/>
      <c r="B54" s="79"/>
      <c r="C54" s="99"/>
      <c r="D54" s="16" t="s">
        <v>151</v>
      </c>
      <c r="E54" s="17" t="s">
        <v>2</v>
      </c>
      <c r="F54" s="12">
        <v>87</v>
      </c>
      <c r="G54" s="12">
        <v>10</v>
      </c>
      <c r="H54" s="12">
        <v>5</v>
      </c>
      <c r="I54" s="12">
        <v>1</v>
      </c>
      <c r="J54" s="14">
        <v>0</v>
      </c>
    </row>
    <row r="55" spans="1:15" x14ac:dyDescent="0.35">
      <c r="A55" s="79"/>
      <c r="B55" s="79"/>
      <c r="C55" s="99"/>
      <c r="D55" s="16" t="s">
        <v>151</v>
      </c>
      <c r="E55" s="17" t="s">
        <v>3</v>
      </c>
      <c r="F55" s="12">
        <v>88</v>
      </c>
      <c r="G55" s="12">
        <v>19</v>
      </c>
      <c r="H55" s="12">
        <v>3</v>
      </c>
      <c r="I55" s="12">
        <v>4</v>
      </c>
      <c r="J55" s="14">
        <v>0</v>
      </c>
    </row>
    <row r="56" spans="1:15" x14ac:dyDescent="0.35">
      <c r="A56" s="79"/>
      <c r="B56" s="79"/>
      <c r="C56" s="99"/>
      <c r="D56" s="16" t="s">
        <v>151</v>
      </c>
      <c r="E56" s="17" t="s">
        <v>4</v>
      </c>
      <c r="F56" s="12">
        <v>117</v>
      </c>
      <c r="G56" s="12">
        <v>25</v>
      </c>
      <c r="H56" s="12">
        <v>3</v>
      </c>
      <c r="I56" s="12">
        <v>3</v>
      </c>
      <c r="J56" s="12">
        <v>1</v>
      </c>
    </row>
    <row r="57" spans="1:15" x14ac:dyDescent="0.35">
      <c r="A57" s="79"/>
      <c r="B57" s="79"/>
      <c r="C57" s="99"/>
      <c r="D57" s="16" t="s">
        <v>151</v>
      </c>
      <c r="E57" s="17" t="s">
        <v>5</v>
      </c>
      <c r="F57" s="12">
        <v>222</v>
      </c>
      <c r="G57" s="12">
        <v>71</v>
      </c>
      <c r="H57" s="12">
        <v>4</v>
      </c>
      <c r="I57" s="12">
        <v>12</v>
      </c>
      <c r="J57" s="14">
        <v>1</v>
      </c>
    </row>
    <row r="58" spans="1:15" x14ac:dyDescent="0.35">
      <c r="A58" s="79"/>
      <c r="B58" s="79"/>
      <c r="C58" s="99"/>
      <c r="D58" s="16" t="s">
        <v>151</v>
      </c>
      <c r="E58" s="17" t="s">
        <v>6</v>
      </c>
      <c r="F58" s="12">
        <v>57</v>
      </c>
      <c r="G58" s="12">
        <v>10</v>
      </c>
      <c r="H58" s="14">
        <v>0</v>
      </c>
      <c r="I58" s="12">
        <v>3</v>
      </c>
      <c r="J58" s="14">
        <v>0</v>
      </c>
    </row>
    <row r="59" spans="1:15" x14ac:dyDescent="0.35">
      <c r="A59" s="79"/>
      <c r="B59" s="79"/>
      <c r="C59" s="99"/>
      <c r="D59" s="16" t="s">
        <v>151</v>
      </c>
      <c r="E59" s="17" t="s">
        <v>7</v>
      </c>
      <c r="F59" s="12">
        <v>103</v>
      </c>
      <c r="G59" s="12">
        <v>27</v>
      </c>
      <c r="H59" s="12">
        <v>0</v>
      </c>
      <c r="I59" s="12">
        <v>4</v>
      </c>
      <c r="J59" s="14">
        <v>1</v>
      </c>
    </row>
    <row r="60" spans="1:15" x14ac:dyDescent="0.35">
      <c r="A60" s="79"/>
      <c r="B60" s="79"/>
      <c r="C60" s="99"/>
      <c r="D60" s="16" t="s">
        <v>151</v>
      </c>
      <c r="E60" s="17" t="s">
        <v>8</v>
      </c>
      <c r="F60" s="12">
        <v>83</v>
      </c>
      <c r="G60" s="12">
        <v>18</v>
      </c>
      <c r="H60" s="12">
        <v>7</v>
      </c>
      <c r="I60" s="12">
        <v>5</v>
      </c>
      <c r="J60" s="14">
        <v>1</v>
      </c>
    </row>
    <row r="61" spans="1:15" x14ac:dyDescent="0.35">
      <c r="A61" s="79"/>
      <c r="B61" s="79"/>
      <c r="C61" s="99"/>
      <c r="D61" s="16" t="s">
        <v>151</v>
      </c>
      <c r="E61" s="17" t="s">
        <v>9</v>
      </c>
      <c r="F61" s="12">
        <v>161</v>
      </c>
      <c r="G61" s="12">
        <v>20</v>
      </c>
      <c r="H61" s="12">
        <v>3</v>
      </c>
      <c r="I61" s="12">
        <v>2</v>
      </c>
      <c r="J61" s="14">
        <v>0</v>
      </c>
    </row>
    <row r="62" spans="1:15" x14ac:dyDescent="0.35">
      <c r="A62" s="79"/>
      <c r="B62" s="79"/>
      <c r="C62" s="99"/>
      <c r="D62" s="16" t="s">
        <v>151</v>
      </c>
      <c r="E62" s="17" t="s">
        <v>11</v>
      </c>
      <c r="F62" s="12">
        <v>67</v>
      </c>
      <c r="G62" s="12">
        <v>24</v>
      </c>
      <c r="H62" s="14">
        <v>0</v>
      </c>
      <c r="I62" s="12">
        <v>4</v>
      </c>
      <c r="J62" s="14">
        <v>0</v>
      </c>
    </row>
    <row r="63" spans="1:15" x14ac:dyDescent="0.35">
      <c r="A63" s="79"/>
      <c r="B63" s="79"/>
      <c r="C63" s="99"/>
      <c r="D63" s="16" t="s">
        <v>151</v>
      </c>
      <c r="E63" s="17" t="s">
        <v>12</v>
      </c>
      <c r="F63" s="12">
        <v>120</v>
      </c>
      <c r="G63" s="12">
        <v>21</v>
      </c>
      <c r="H63" s="12">
        <v>1</v>
      </c>
      <c r="I63" s="12">
        <v>4</v>
      </c>
      <c r="J63" s="14">
        <v>0</v>
      </c>
      <c r="K63" s="2">
        <f>SUM(F53:F63)</f>
        <v>1160</v>
      </c>
      <c r="L63" s="2">
        <f t="shared" ref="L63:O63" si="5">SUM(G53:G63)</f>
        <v>259</v>
      </c>
      <c r="M63" s="2">
        <f t="shared" si="5"/>
        <v>26</v>
      </c>
      <c r="N63" s="2">
        <f t="shared" si="5"/>
        <v>45</v>
      </c>
      <c r="O63" s="2">
        <f t="shared" si="5"/>
        <v>5</v>
      </c>
    </row>
    <row r="64" spans="1:15" x14ac:dyDescent="0.35">
      <c r="A64" s="9" t="s">
        <v>615</v>
      </c>
      <c r="B64" s="9" t="s">
        <v>616</v>
      </c>
      <c r="C64" s="96">
        <v>2210</v>
      </c>
      <c r="D64" s="16" t="s">
        <v>152</v>
      </c>
      <c r="E64" s="17" t="s">
        <v>17</v>
      </c>
      <c r="F64" s="13">
        <v>117</v>
      </c>
      <c r="G64" s="13">
        <v>9</v>
      </c>
      <c r="H64" s="15">
        <v>0</v>
      </c>
      <c r="I64" s="13">
        <v>1</v>
      </c>
      <c r="J64" s="15">
        <v>1</v>
      </c>
    </row>
    <row r="65" spans="1:15" x14ac:dyDescent="0.35">
      <c r="A65" s="73"/>
      <c r="B65" s="73"/>
      <c r="C65" s="97"/>
      <c r="D65" s="16" t="s">
        <v>152</v>
      </c>
      <c r="E65" s="17" t="s">
        <v>2</v>
      </c>
      <c r="F65" s="13">
        <v>12</v>
      </c>
      <c r="G65" s="13">
        <v>3</v>
      </c>
      <c r="H65" s="13">
        <v>2</v>
      </c>
      <c r="I65" s="13">
        <v>5</v>
      </c>
      <c r="J65" s="15">
        <v>0</v>
      </c>
    </row>
    <row r="66" spans="1:15" x14ac:dyDescent="0.35">
      <c r="A66" s="73"/>
      <c r="B66" s="73"/>
      <c r="C66" s="97"/>
      <c r="D66" s="16" t="s">
        <v>152</v>
      </c>
      <c r="E66" s="17" t="s">
        <v>3</v>
      </c>
      <c r="F66" s="13">
        <v>124</v>
      </c>
      <c r="G66" s="13">
        <v>36</v>
      </c>
      <c r="H66" s="13">
        <v>2</v>
      </c>
      <c r="I66" s="13">
        <v>4</v>
      </c>
      <c r="J66" s="13">
        <v>1</v>
      </c>
    </row>
    <row r="67" spans="1:15" x14ac:dyDescent="0.35">
      <c r="A67" s="73"/>
      <c r="B67" s="73"/>
      <c r="C67" s="97"/>
      <c r="D67" s="16" t="s">
        <v>152</v>
      </c>
      <c r="E67" s="17" t="s">
        <v>4</v>
      </c>
      <c r="F67" s="13">
        <v>115</v>
      </c>
      <c r="G67" s="13">
        <v>11</v>
      </c>
      <c r="H67" s="13">
        <v>2</v>
      </c>
      <c r="I67" s="13">
        <v>4</v>
      </c>
      <c r="J67" s="15">
        <v>2</v>
      </c>
    </row>
    <row r="68" spans="1:15" x14ac:dyDescent="0.35">
      <c r="A68" s="73"/>
      <c r="B68" s="73"/>
      <c r="C68" s="97"/>
      <c r="D68" s="16" t="s">
        <v>152</v>
      </c>
      <c r="E68" s="17" t="s">
        <v>5</v>
      </c>
      <c r="F68" s="13">
        <v>290</v>
      </c>
      <c r="G68" s="13">
        <v>45</v>
      </c>
      <c r="H68" s="13">
        <v>11</v>
      </c>
      <c r="I68" s="13">
        <v>8</v>
      </c>
      <c r="J68" s="15">
        <v>2</v>
      </c>
    </row>
    <row r="69" spans="1:15" x14ac:dyDescent="0.35">
      <c r="A69" s="73"/>
      <c r="B69" s="73"/>
      <c r="C69" s="97"/>
      <c r="D69" s="16" t="s">
        <v>152</v>
      </c>
      <c r="E69" s="17" t="s">
        <v>6</v>
      </c>
      <c r="F69" s="13">
        <v>106</v>
      </c>
      <c r="G69" s="13">
        <v>34</v>
      </c>
      <c r="H69" s="13">
        <v>6</v>
      </c>
      <c r="I69" s="13">
        <v>9</v>
      </c>
      <c r="J69" s="13">
        <v>0</v>
      </c>
    </row>
    <row r="70" spans="1:15" x14ac:dyDescent="0.35">
      <c r="A70" s="73"/>
      <c r="B70" s="73"/>
      <c r="C70" s="97"/>
      <c r="D70" s="16" t="s">
        <v>152</v>
      </c>
      <c r="E70" s="17" t="s">
        <v>7</v>
      </c>
      <c r="F70" s="13">
        <v>127</v>
      </c>
      <c r="G70" s="13">
        <v>13</v>
      </c>
      <c r="H70" s="15">
        <v>0</v>
      </c>
      <c r="I70" s="13">
        <v>2</v>
      </c>
      <c r="J70" s="15">
        <v>1</v>
      </c>
    </row>
    <row r="71" spans="1:15" x14ac:dyDescent="0.35">
      <c r="A71" s="73"/>
      <c r="B71" s="73"/>
      <c r="C71" s="97"/>
      <c r="D71" s="16" t="s">
        <v>152</v>
      </c>
      <c r="E71" s="17" t="s">
        <v>8</v>
      </c>
      <c r="F71" s="13">
        <v>243</v>
      </c>
      <c r="G71" s="13">
        <v>19</v>
      </c>
      <c r="H71" s="13">
        <v>1</v>
      </c>
      <c r="I71" s="13">
        <v>1</v>
      </c>
      <c r="J71" s="15">
        <v>1</v>
      </c>
      <c r="K71" s="2">
        <f>SUM(F64:F71)</f>
        <v>1134</v>
      </c>
      <c r="L71" s="2">
        <f t="shared" ref="L71:O71" si="6">SUM(G64:G71)</f>
        <v>170</v>
      </c>
      <c r="M71" s="2">
        <f t="shared" si="6"/>
        <v>24</v>
      </c>
      <c r="N71" s="2">
        <f t="shared" si="6"/>
        <v>34</v>
      </c>
      <c r="O71" s="2">
        <f t="shared" si="6"/>
        <v>8</v>
      </c>
    </row>
    <row r="72" spans="1:15" x14ac:dyDescent="0.35">
      <c r="A72" s="4" t="s">
        <v>617</v>
      </c>
      <c r="B72" s="4" t="s">
        <v>618</v>
      </c>
      <c r="C72" s="98">
        <v>1546</v>
      </c>
      <c r="D72" s="16" t="s">
        <v>153</v>
      </c>
      <c r="E72" s="17" t="s">
        <v>17</v>
      </c>
      <c r="F72" s="12">
        <v>162</v>
      </c>
      <c r="G72" s="12">
        <v>20</v>
      </c>
      <c r="H72" s="12">
        <v>1</v>
      </c>
      <c r="I72" s="12">
        <v>2</v>
      </c>
      <c r="J72" s="14">
        <v>0</v>
      </c>
    </row>
    <row r="73" spans="1:15" x14ac:dyDescent="0.35">
      <c r="A73" s="79"/>
      <c r="B73" s="79"/>
      <c r="C73" s="99"/>
      <c r="D73" s="16" t="s">
        <v>153</v>
      </c>
      <c r="E73" s="17" t="s">
        <v>2</v>
      </c>
      <c r="F73" s="12">
        <v>159</v>
      </c>
      <c r="G73" s="12">
        <v>29</v>
      </c>
      <c r="H73" s="12">
        <v>0</v>
      </c>
      <c r="I73" s="12">
        <v>7</v>
      </c>
      <c r="J73" s="14">
        <v>1</v>
      </c>
    </row>
    <row r="74" spans="1:15" x14ac:dyDescent="0.35">
      <c r="A74" s="79"/>
      <c r="B74" s="79"/>
      <c r="C74" s="99"/>
      <c r="D74" s="16" t="s">
        <v>153</v>
      </c>
      <c r="E74" s="17" t="s">
        <v>3</v>
      </c>
      <c r="F74" s="12">
        <v>66</v>
      </c>
      <c r="G74" s="12">
        <v>6</v>
      </c>
      <c r="H74" s="12">
        <v>2</v>
      </c>
      <c r="I74" s="12">
        <v>0</v>
      </c>
      <c r="J74" s="12">
        <v>1</v>
      </c>
    </row>
    <row r="75" spans="1:15" x14ac:dyDescent="0.35">
      <c r="A75" s="79"/>
      <c r="B75" s="79"/>
      <c r="C75" s="99"/>
      <c r="D75" s="16" t="s">
        <v>153</v>
      </c>
      <c r="E75" s="17" t="s">
        <v>4</v>
      </c>
      <c r="F75" s="12">
        <v>115</v>
      </c>
      <c r="G75" s="12">
        <v>8</v>
      </c>
      <c r="H75" s="12">
        <v>3</v>
      </c>
      <c r="I75" s="12">
        <v>2</v>
      </c>
      <c r="J75" s="14">
        <v>0</v>
      </c>
    </row>
    <row r="76" spans="1:15" x14ac:dyDescent="0.35">
      <c r="A76" s="79"/>
      <c r="B76" s="79"/>
      <c r="C76" s="99"/>
      <c r="D76" s="16" t="s">
        <v>153</v>
      </c>
      <c r="E76" s="17" t="s">
        <v>5</v>
      </c>
      <c r="F76" s="12">
        <v>52</v>
      </c>
      <c r="G76" s="12">
        <v>19</v>
      </c>
      <c r="H76" s="14">
        <v>4</v>
      </c>
      <c r="I76" s="14">
        <v>0</v>
      </c>
      <c r="J76" s="14">
        <v>1</v>
      </c>
    </row>
    <row r="77" spans="1:15" x14ac:dyDescent="0.35">
      <c r="A77" s="79"/>
      <c r="B77" s="79"/>
      <c r="C77" s="99"/>
      <c r="D77" s="16" t="s">
        <v>153</v>
      </c>
      <c r="E77" s="17" t="s">
        <v>6</v>
      </c>
      <c r="F77" s="12">
        <v>93</v>
      </c>
      <c r="G77" s="12">
        <v>6</v>
      </c>
      <c r="H77" s="14">
        <v>0</v>
      </c>
      <c r="I77" s="12">
        <v>3</v>
      </c>
      <c r="J77" s="14">
        <v>0</v>
      </c>
    </row>
    <row r="78" spans="1:15" x14ac:dyDescent="0.35">
      <c r="A78" s="79"/>
      <c r="B78" s="79"/>
      <c r="C78" s="99"/>
      <c r="D78" s="16" t="s">
        <v>153</v>
      </c>
      <c r="E78" s="17" t="s">
        <v>7</v>
      </c>
      <c r="F78" s="12">
        <v>83</v>
      </c>
      <c r="G78" s="12">
        <v>27</v>
      </c>
      <c r="H78" s="14">
        <v>0</v>
      </c>
      <c r="I78" s="14">
        <v>1</v>
      </c>
      <c r="J78" s="14">
        <v>0</v>
      </c>
      <c r="K78" s="2">
        <f>SUM(F72:F78)</f>
        <v>730</v>
      </c>
      <c r="L78" s="2">
        <f t="shared" ref="L78:O78" si="7">SUM(G72:G78)</f>
        <v>115</v>
      </c>
      <c r="M78" s="2">
        <f t="shared" si="7"/>
        <v>10</v>
      </c>
      <c r="N78" s="2">
        <f t="shared" si="7"/>
        <v>15</v>
      </c>
      <c r="O78" s="2">
        <f t="shared" si="7"/>
        <v>3</v>
      </c>
    </row>
    <row r="79" spans="1:15" x14ac:dyDescent="0.35">
      <c r="A79" s="80"/>
      <c r="B79" s="80" t="s">
        <v>721</v>
      </c>
      <c r="C79" s="105">
        <f>SUM(C5:C72)</f>
        <v>19754</v>
      </c>
      <c r="D79" s="336" t="s">
        <v>229</v>
      </c>
      <c r="E79" s="337"/>
      <c r="F79" s="20">
        <f>SUM(F6:F78)</f>
        <v>8461</v>
      </c>
      <c r="G79" s="20">
        <f>SUM(G6:G78)</f>
        <v>2097</v>
      </c>
      <c r="H79" s="20">
        <f>SUM(H6:H78)</f>
        <v>209</v>
      </c>
      <c r="I79" s="20">
        <f>SUM(I6:I78)</f>
        <v>315</v>
      </c>
      <c r="J79" s="20">
        <f>SUM(J6:J78)</f>
        <v>48</v>
      </c>
    </row>
    <row r="80" spans="1:15" x14ac:dyDescent="0.35">
      <c r="A80" s="338" t="s">
        <v>737</v>
      </c>
      <c r="B80" s="338"/>
      <c r="C80" s="105">
        <f>SUM(C79,F79,G79,H79,I79,J79)</f>
        <v>30884</v>
      </c>
    </row>
  </sheetData>
  <mergeCells count="7">
    <mergeCell ref="A80:B80"/>
    <mergeCell ref="D1:J1"/>
    <mergeCell ref="D2:J2"/>
    <mergeCell ref="D79:E79"/>
    <mergeCell ref="F3:J3"/>
    <mergeCell ref="A1:C1"/>
    <mergeCell ref="A2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อยุธยา</vt:lpstr>
      <vt:lpstr>ท่าเริอ</vt:lpstr>
      <vt:lpstr>นครหลวง</vt:lpstr>
      <vt:lpstr>บางไทร</vt:lpstr>
      <vt:lpstr>บางบาล</vt:lpstr>
      <vt:lpstr>บางปะอิน</vt:lpstr>
      <vt:lpstr>บางปะหัน</vt:lpstr>
      <vt:lpstr>ผักไห่</vt:lpstr>
      <vt:lpstr>ภาชี</vt:lpstr>
      <vt:lpstr>ลาดบัวหลวง</vt:lpstr>
      <vt:lpstr>วังน้อย</vt:lpstr>
      <vt:lpstr>เสนา</vt:lpstr>
      <vt:lpstr>บางซ้าย</vt:lpstr>
      <vt:lpstr>อุทัย</vt:lpstr>
      <vt:lpstr>มหาราช</vt:lpstr>
      <vt:lpstr>บ้านแพรก</vt:lpstr>
      <vt:lpstr>พื้นที่รอยต่อ</vt:lpstr>
      <vt:lpstr>หน่วยบริการประจำ</vt:lpstr>
      <vt:lpstr>total (OK)</vt:lpstr>
      <vt:lpstr>total (SSS)</vt:lpstr>
      <vt:lpstr>pivot SSS</vt:lpstr>
      <vt:lpstr>pivot</vt:lpstr>
      <vt:lpstr>Sheet1</vt:lpstr>
      <vt:lpstr>สรุปแผน รพ.สต.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IT</cp:lastModifiedBy>
  <cp:lastPrinted>2020-10-15T03:44:18Z</cp:lastPrinted>
  <dcterms:created xsi:type="dcterms:W3CDTF">2019-05-22T03:32:30Z</dcterms:created>
  <dcterms:modified xsi:type="dcterms:W3CDTF">2022-05-24T01:34:32Z</dcterms:modified>
</cp:coreProperties>
</file>